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ptgocr-my.sharepoint.com/personal/laura_monge_mopt_go_cr/Documents/PNDIP 2023 2026/SEGUIMIENTO ANUAL 2024/Presentación Seguimiento Anual PNDIP 2024/Presentación Página WEB/"/>
    </mc:Choice>
  </mc:AlternateContent>
  <xr:revisionPtr revIDLastSave="1" documentId="8_{5D4D8672-5BDB-490B-AA49-E212A36E83B4}" xr6:coauthVersionLast="47" xr6:coauthVersionMax="47" xr10:uidLastSave="{16B9143E-FC25-4827-BE47-4CFF55645BFE}"/>
  <bookViews>
    <workbookView xWindow="-110" yWindow="-110" windowWidth="19420" windowHeight="10300" xr2:uid="{00000000-000D-0000-FFFF-FFFF00000000}"/>
  </bookViews>
  <sheets>
    <sheet name="Metas Anual PNDIP 2024" sheetId="2" r:id="rId1"/>
  </sheets>
  <definedNames>
    <definedName name="_xlnm._FilterDatabase" localSheetId="0" hidden="1">'Metas Anual PNDIP 2024'!$A$18:$K$44</definedName>
    <definedName name="_xlnm.Print_Titles" localSheetId="0">'Metas Anual PNDIP 2024'!$18:$18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12" i="2"/>
  <c r="I34" i="2" l="1"/>
  <c r="H34" i="2"/>
  <c r="I33" i="2" l="1"/>
  <c r="I31" i="2"/>
  <c r="H31" i="2"/>
  <c r="I30" i="2" l="1"/>
  <c r="H30" i="2"/>
  <c r="I22" i="2"/>
  <c r="H22" i="2"/>
  <c r="I21" i="2"/>
  <c r="H21" i="2"/>
  <c r="I19" i="2"/>
  <c r="H19" i="2"/>
  <c r="I26" i="2" l="1"/>
  <c r="H26" i="2"/>
  <c r="I44" i="2"/>
  <c r="H44" i="2"/>
  <c r="I43" i="2"/>
  <c r="H43" i="2"/>
  <c r="H20" i="2"/>
  <c r="I20" i="2"/>
  <c r="I23" i="2"/>
  <c r="H42" i="2" l="1"/>
  <c r="H41" i="2"/>
  <c r="H40" i="2"/>
  <c r="H39" i="2"/>
  <c r="H37" i="2"/>
  <c r="H36" i="2"/>
  <c r="H28" i="2"/>
  <c r="I42" i="2"/>
  <c r="I41" i="2"/>
  <c r="I40" i="2"/>
  <c r="I36" i="2"/>
  <c r="I37" i="2"/>
  <c r="I35" i="2"/>
  <c r="I25" i="2"/>
  <c r="I24" i="2"/>
  <c r="I38" i="2"/>
  <c r="H38" i="2"/>
  <c r="I39" i="2"/>
  <c r="I32" i="2"/>
  <c r="H32" i="2"/>
  <c r="I28" i="2"/>
  <c r="I29" i="2"/>
  <c r="I27" i="2"/>
  <c r="H27" i="2" l="1"/>
  <c r="H29" i="2"/>
  <c r="H33" i="2" l="1"/>
  <c r="H25" i="2"/>
  <c r="H35" i="2"/>
</calcChain>
</file>

<file path=xl/sharedStrings.xml><?xml version="1.0" encoding="utf-8"?>
<sst xmlns="http://schemas.openxmlformats.org/spreadsheetml/2006/main" count="209" uniqueCount="143">
  <si>
    <t>Sector Obras Públicas y Transportes</t>
  </si>
  <si>
    <t xml:space="preserve">Metas Sectoriales </t>
  </si>
  <si>
    <t xml:space="preserve">Objetivo Sectorial </t>
  </si>
  <si>
    <t>Indicador</t>
  </si>
  <si>
    <t>Línea Base</t>
  </si>
  <si>
    <t>Meta 2024</t>
  </si>
  <si>
    <t xml:space="preserve">Avance de la meta </t>
  </si>
  <si>
    <t>A. Disminuir las defunciones por accidente de tránsito implementando acciones de movilidad y seguridad vial.</t>
  </si>
  <si>
    <t xml:space="preserve">2019: 802 </t>
  </si>
  <si>
    <t>918 (Estimado)</t>
  </si>
  <si>
    <t>B. Disminuir el tiempo de viaje en la Red Vial Nacional, mediante la mejora de la capacidad de la red de carreteras.</t>
  </si>
  <si>
    <t>2022: 3,73 min</t>
  </si>
  <si>
    <t>C. Aumentar la productividad de los puertos del país, mediante la disminución del tiempo promedio de atraque de los buques.</t>
  </si>
  <si>
    <t>2019: 29,56</t>
  </si>
  <si>
    <t>D. Mejorar la condición de la superficie de ruedo de la Red Vial Nacional, mediante el mantenimiento, rehabilitación y reconstrucción.</t>
  </si>
  <si>
    <t>2020: 60,5</t>
  </si>
  <si>
    <t>2019: 5,5%</t>
  </si>
  <si>
    <t>Intervención Pública</t>
  </si>
  <si>
    <t>Línea base</t>
  </si>
  <si>
    <t>Meta Anual</t>
  </si>
  <si>
    <t>I trimestre 2024</t>
  </si>
  <si>
    <t>I semestre 2024</t>
  </si>
  <si>
    <t>Anual 2024</t>
  </si>
  <si>
    <t>Porcentaje  de avance
(con respecto a la meta acumulada)*</t>
  </si>
  <si>
    <t>Porcentaje de avance metodología MIDEPLAN**</t>
  </si>
  <si>
    <t>Responsable</t>
  </si>
  <si>
    <t>1) 001546 Rehabilitación y ampliación a 4 carriles de la Ruta Nacional 32, sección: intersección con la Ruta Nacional 4-Limón por parte del CONAVI.</t>
  </si>
  <si>
    <t>AB1.Porcentaje acumulado de avance de obra.</t>
  </si>
  <si>
    <t xml:space="preserve">2021: 50,97%
Región: Huetar Caribe
</t>
  </si>
  <si>
    <t xml:space="preserve">2024:95%
</t>
  </si>
  <si>
    <t xml:space="preserve">Cumplimiento Alto </t>
  </si>
  <si>
    <t xml:space="preserve">CONAVI </t>
  </si>
  <si>
    <t>2) 002172 Ampliación y Mejoramiento del Corredor Vial San José – San Ramón.</t>
  </si>
  <si>
    <t xml:space="preserve">2021: 12,88% 
Región: Central
</t>
  </si>
  <si>
    <t xml:space="preserve">2024: 43,53% </t>
  </si>
  <si>
    <t>Cumplimiento Bajo</t>
  </si>
  <si>
    <t>3) 002700 Rehabilitación del puente sobre el Río Virilla en la Ruta Nacional  No. 32.</t>
  </si>
  <si>
    <t xml:space="preserve">2021: 7%
Región Central
</t>
  </si>
  <si>
    <t>2024: 100% (ejecución)</t>
  </si>
  <si>
    <t>5) Programa de puentes en la red vial nacional.</t>
  </si>
  <si>
    <t>2021:20</t>
  </si>
  <si>
    <t>2024:6</t>
  </si>
  <si>
    <t xml:space="preserve">Cumplimiento Medio </t>
  </si>
  <si>
    <t>6) Diseño y construcción del proyecto Ciudad Gobierno.</t>
  </si>
  <si>
    <t>2021: 3% (perfil y prefactibilidad) Región Central</t>
  </si>
  <si>
    <t>2024: 25% (financiamiento, licitación y adjudicación, pre ejecución)</t>
  </si>
  <si>
    <t>MOPT</t>
  </si>
  <si>
    <t>7) 002547 Ampliación y mejoramiento de Corredor Vial San José- Caldera, Ruta N° 27.</t>
  </si>
  <si>
    <t>2021: 0% 
Regiones Central y Región Pacífico Central</t>
  </si>
  <si>
    <t>2024: 25% (Ejecución)</t>
  </si>
  <si>
    <t>CNC</t>
  </si>
  <si>
    <t xml:space="preserve">2021: 3 %
Región central
</t>
  </si>
  <si>
    <t>2024: 12% (Licitación y adjudicación)</t>
  </si>
  <si>
    <t xml:space="preserve">2021: 12% 
Región: Pacifico Central
</t>
  </si>
  <si>
    <t>2024: 96.25% (41,25% Ejecución)</t>
  </si>
  <si>
    <t>INCOP</t>
  </si>
  <si>
    <t xml:space="preserve">13) 002646 Rehabilitación y Construcción del Tren Eléctrico Limonense de Carga bajo la responsabilidad del INCOFER (TELCA). </t>
  </si>
  <si>
    <t xml:space="preserve">2021: 7%
Región Huetar Caribe y Huetar Norte
</t>
  </si>
  <si>
    <t xml:space="preserve">2024: 22% 
(2% Licitación y Adjudicación y 2% Pre-Ejecución) </t>
  </si>
  <si>
    <t>INCOFER</t>
  </si>
  <si>
    <t xml:space="preserve">2021: 0% 
Región Central y Pacífico Central
</t>
  </si>
  <si>
    <t xml:space="preserve">2024: 7% 
(4% Etapa de Factibilidad) </t>
  </si>
  <si>
    <t xml:space="preserve">INCOFER </t>
  </si>
  <si>
    <t>15) 002192 Construcción, equipamiento y puesta en operación de un sistema de Tren Rápido de Pasajeros (TRP) en la Gran Área Metropolitana (GAM).</t>
  </si>
  <si>
    <t xml:space="preserve">2021: 3%
Región Central
</t>
  </si>
  <si>
    <t xml:space="preserve">2024: 44% 
(1% Licitación y Adjudicación, 1% Pre Ejecución, 19% Ejecución, Línea 1)  </t>
  </si>
  <si>
    <t>2021: 1%</t>
  </si>
  <si>
    <t xml:space="preserve">2024: 43% (5% Diseño, 5% Pre-ejecución, 33% Ejecución de Obra)                                                                                                                                              </t>
  </si>
  <si>
    <t xml:space="preserve">ABD.1
Porcentaje acumulado de avance de obra.
</t>
  </si>
  <si>
    <t>2022: 9,15%</t>
  </si>
  <si>
    <t xml:space="preserve">2024: 100% (Ejecución de Obra)                                                                                                                                                     </t>
  </si>
  <si>
    <t>2021: 44,37%</t>
  </si>
  <si>
    <t>2024: 100%</t>
  </si>
  <si>
    <t xml:space="preserve">ABD.1
Número acumulado de kilómetros rehabilitados de la Red Vial Cantonal.
</t>
  </si>
  <si>
    <t>2021: 143.8 km</t>
  </si>
  <si>
    <t xml:space="preserve">2024: 402,19 km
</t>
  </si>
  <si>
    <t>2021:0</t>
  </si>
  <si>
    <t xml:space="preserve">2024: 30 
</t>
  </si>
  <si>
    <t xml:space="preserve">2021: 12%
Región Chorotega
</t>
  </si>
  <si>
    <t xml:space="preserve">2024: 70% 
(5% Pre ejecución, 45% Ejecución)
</t>
  </si>
  <si>
    <t>2021:0%</t>
  </si>
  <si>
    <t xml:space="preserve">2024: 7% 
(4 %Factibilidad)
</t>
  </si>
  <si>
    <t>2021: 0%</t>
  </si>
  <si>
    <t>2024: 7% 
(4 %Factibilidad)</t>
  </si>
  <si>
    <t>24) 001172 Mejoramiento del Aeródromo La Managua, Quepos.</t>
  </si>
  <si>
    <t xml:space="preserve">2021: 0%
Región Pacífico Central
</t>
  </si>
  <si>
    <t>C9. Porcentaje de avance de obra del Programa de Saneamiento en zonas prioritarias.</t>
  </si>
  <si>
    <t>2024: 3.5%</t>
  </si>
  <si>
    <t>AYA</t>
  </si>
  <si>
    <t>C10. Porcentaje de avance de obra del Programa de Saneamiento en zonas prioritarias
R. Pacífico Central (Cod.00413 JACO).</t>
  </si>
  <si>
    <t>14.97% </t>
  </si>
  <si>
    <t>27.8%</t>
  </si>
  <si>
    <t xml:space="preserve">2024: 80% 
</t>
  </si>
  <si>
    <r>
      <rPr>
        <b/>
        <sz val="13"/>
        <color theme="1"/>
        <rFont val="Calibri"/>
        <family val="2"/>
        <scheme val="minor"/>
      </rPr>
      <t>Notas: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*</t>
    </r>
    <r>
      <rPr>
        <sz val="13"/>
        <color theme="1"/>
        <rFont val="Calibri"/>
        <family val="2"/>
        <scheme val="minor"/>
      </rPr>
      <t>Seguimiento trimestral y semestral: las instituciones deben determinar el grado de avance de las metas de intervenciones públicas (autoclasificación) considerando los siguientes criterios de semaforización. (Lineamiento Metodológico - Insumos para elaborar el seguimiento del Plan Nacional de Desarrollo y de Inversión Pública (PNDIP) 2023-2026).
Metas actualizadas según modificación No. MIDEPLAN-DM-OF-0714-2024 6 de junio del 2024.</t>
    </r>
  </si>
  <si>
    <t>Cuando el resultado de la meta es menor o igual a 49,99%</t>
  </si>
  <si>
    <t>Cuando el resultado anual de la meta es menor o igual a 89,99% o igual a 50%</t>
  </si>
  <si>
    <t>Cumplimiento Alto</t>
  </si>
  <si>
    <t>Cuando el resultado anual de la meta es mayor o igual al 90%</t>
  </si>
  <si>
    <t>CETAC-DGAC</t>
  </si>
  <si>
    <t>Porcentaje de avance metodología MIDEPLAN</t>
  </si>
  <si>
    <t xml:space="preserve"> Clasificación </t>
  </si>
  <si>
    <t>Clasificación *</t>
  </si>
  <si>
    <t>COSEVI</t>
  </si>
  <si>
    <t xml:space="preserve">Secretaría de Planificación Sectorial </t>
  </si>
  <si>
    <t>C.Tiempo promedio de atraque de los buques en puertos.</t>
  </si>
  <si>
    <t>E.Porcentaje de variación del volumen de pasajeros de un año con respecto al anterior (Incluye vuelos nacionales e internacionales).</t>
  </si>
  <si>
    <t xml:space="preserve">2024: 12% 
(5% Diseños)
</t>
  </si>
  <si>
    <t xml:space="preserve">2023: 46,0% 
 Sector I: Construcción; 
</t>
  </si>
  <si>
    <t>E. Aumentar el volumen de pasajeros que se transportan en el medio aéreo, mediante el aumento en el porcentaje de variación del volumen de pasajeros.</t>
  </si>
  <si>
    <t>A.Cantidad de muertes por accidentes de tránsito en el país.</t>
  </si>
  <si>
    <t>B.Tiempo de viaje en la Red Vial Nacional.</t>
  </si>
  <si>
    <t>D.Promedio del índice de condición de carreteras.</t>
  </si>
  <si>
    <t>AB1.Porcentaje acumulado de avance de etapas.</t>
  </si>
  <si>
    <t>AB1.Cantidad acumulado de puentes.</t>
  </si>
  <si>
    <t>B1. Porcentaje acumulado de avance de etapa del proyecto.</t>
  </si>
  <si>
    <t>ABD.1 Porcentaje acumulado de avance Obra.</t>
  </si>
  <si>
    <t>8) Corredor Vial Ruta Nacional número 2 San José – Cartago.</t>
  </si>
  <si>
    <t xml:space="preserve">ABD.1
Porcentaje acumulado de avance de las etapas del proyecto.
</t>
  </si>
  <si>
    <t>11) 003288 Reforzamiento y rehabilitación del puente de acceso de la terminal Puntarenas por INCOP.</t>
  </si>
  <si>
    <t xml:space="preserve">C1.Porcentaje acumulado de
avance de etapa.
</t>
  </si>
  <si>
    <t>A1.Porcentaje acumulado de avance de etapas del proyecto.</t>
  </si>
  <si>
    <t>14) 002788 Reconstrucción de la vía y restablecimiento del servicio ferroviario entre Puntarenas y Alajuela (TPC).</t>
  </si>
  <si>
    <t>A1.Porcentaje acumulado de avance de etapa del proyecto.</t>
  </si>
  <si>
    <t>16) 003371 Construcción de obras Carretera San Carlos, Sección Bernardo Soto-Florencia.</t>
  </si>
  <si>
    <t xml:space="preserve">ABD.1
Porcentaje acumulado de avance de etapas del proyecto.
</t>
  </si>
  <si>
    <t>17) 002699 Construcción de los Intercambios Viales en La Lima y Taras, y ampliación y mejoramiento de la sección entre los intercambios, Ruta Nacional N°2, Cartago, MOPT.</t>
  </si>
  <si>
    <t>18) 001686 Rehabilitación y ampliación a cuatro carriles de la Ruta Nacional N°1 “Interamericana Norte”, sección: Barranca – Cañas.</t>
  </si>
  <si>
    <t>19) 002484 Segundo Programa de la Red Vial Cantonal.</t>
  </si>
  <si>
    <t>20) 002484 Segundo Programa de la Red Vial Cantonal.</t>
  </si>
  <si>
    <t xml:space="preserve">ABD.1
Número acumulado de puentes intervenidos en la red vial cantonal.
</t>
  </si>
  <si>
    <t>21) 002786 Construcción y ampliación de la pista, área de maniobras y obras conexas del Aeropuerto Internacional Daniel Oduber Quirós.</t>
  </si>
  <si>
    <t xml:space="preserve">E1.Porcentaje acumulado de
avance de las  etapas del proyecto.
</t>
  </si>
  <si>
    <t>22) Construcción de la terminal de carga del Aeropuerto Internacional Daniel Oduber Quirós.</t>
  </si>
  <si>
    <t>23) Ampliación del Aeropuerto Internacional de Limón.</t>
  </si>
  <si>
    <t xml:space="preserve">E1.Porcentaje acumulado de
avance  de obra.
</t>
  </si>
  <si>
    <t>25) 001391 Construcción del Aeropuerto Internacional de la Zona Sur.</t>
  </si>
  <si>
    <t>9) Programa de Saneamiento.</t>
  </si>
  <si>
    <t>C11. Porcentaje de avance de obra del Programa de Saneamiento en zonas prioritarias.
R. Brunca
(Cod.00471 GOLFITO).</t>
  </si>
  <si>
    <t>C12. Porcentaje de avance de las etapas del proyecto Ampliación y mejoramiento del sistema de alcantarillado sanitario de la Ciudad de Limón. 
R. Huetar Caribe
(Cod. 01233).</t>
  </si>
  <si>
    <t>5) Plan Nacional de Adaptación al Cambio Climático.</t>
  </si>
  <si>
    <t>C20. Porcentaje de avance de las etapas del proyecto
Reducción de Agua no contabilizada.
(Cod. 1224).</t>
  </si>
  <si>
    <t>Metas Intervenciones Públicas Institucionales</t>
  </si>
  <si>
    <t xml:space="preserve">SEGUIMIENTO ANUAL  2024 PNDIP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</si>
</sst>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HendersonSansW00-BasicBold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askerville Old Face"/>
      <family val="1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4"/>
      <color rgb="FF000000"/>
      <name val="Calibri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3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9" fillId="6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7" borderId="2" xfId="0" applyFont="1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10" fontId="14" fillId="0" borderId="0" xfId="2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6" fillId="7" borderId="2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center" vertical="top" wrapText="1"/>
    </xf>
    <xf numFmtId="0" fontId="20" fillId="5" borderId="2" xfId="0" applyFont="1" applyFill="1" applyBorder="1" applyAlignment="1">
      <alignment horizontal="center" vertical="top" wrapText="1"/>
    </xf>
    <xf numFmtId="0" fontId="20" fillId="6" borderId="2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justify" vertical="top" wrapText="1"/>
    </xf>
    <xf numFmtId="0" fontId="20" fillId="0" borderId="2" xfId="0" applyFont="1" applyBorder="1" applyAlignment="1">
      <alignment horizontal="center" vertical="top" wrapText="1"/>
    </xf>
    <xf numFmtId="10" fontId="20" fillId="0" borderId="2" xfId="0" applyNumberFormat="1" applyFont="1" applyBorder="1" applyAlignment="1">
      <alignment horizontal="center" vertical="top" wrapText="1"/>
    </xf>
    <xf numFmtId="4" fontId="20" fillId="0" borderId="2" xfId="0" applyNumberFormat="1" applyFont="1" applyBorder="1" applyAlignment="1">
      <alignment horizontal="center" vertical="top" wrapText="1"/>
    </xf>
    <xf numFmtId="49" fontId="20" fillId="0" borderId="2" xfId="0" applyNumberFormat="1" applyFont="1" applyBorder="1" applyAlignment="1">
      <alignment horizontal="center" vertical="top"/>
    </xf>
    <xf numFmtId="49" fontId="20" fillId="0" borderId="2" xfId="0" applyNumberFormat="1" applyFont="1" applyBorder="1" applyAlignment="1">
      <alignment horizontal="center" vertical="top" wrapText="1"/>
    </xf>
    <xf numFmtId="9" fontId="20" fillId="0" borderId="2" xfId="0" applyNumberFormat="1" applyFont="1" applyBorder="1" applyAlignment="1">
      <alignment horizontal="center" vertical="top" wrapText="1"/>
    </xf>
    <xf numFmtId="9" fontId="20" fillId="0" borderId="3" xfId="0" applyNumberFormat="1" applyFont="1" applyBorder="1" applyAlignment="1">
      <alignment horizontal="center" vertical="top" wrapText="1"/>
    </xf>
    <xf numFmtId="10" fontId="20" fillId="0" borderId="3" xfId="0" applyNumberFormat="1" applyFont="1" applyBorder="1" applyAlignment="1">
      <alignment horizontal="center" vertical="top" wrapText="1"/>
    </xf>
    <xf numFmtId="4" fontId="20" fillId="0" borderId="3" xfId="0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justify" vertical="top"/>
    </xf>
    <xf numFmtId="3" fontId="20" fillId="0" borderId="2" xfId="0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1" fillId="5" borderId="0" xfId="0" applyFont="1" applyFill="1"/>
    <xf numFmtId="0" fontId="4" fillId="0" borderId="0" xfId="0" applyFont="1"/>
    <xf numFmtId="0" fontId="21" fillId="3" borderId="0" xfId="0" applyFont="1" applyFill="1"/>
    <xf numFmtId="0" fontId="21" fillId="4" borderId="0" xfId="0" applyFont="1" applyFill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 wrapText="1"/>
    </xf>
    <xf numFmtId="0" fontId="19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9" fontId="13" fillId="0" borderId="0" xfId="0" applyNumberFormat="1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9" fontId="3" fillId="0" borderId="0" xfId="0" applyNumberFormat="1" applyFont="1" applyAlignment="1">
      <alignment horizontal="justify" vertical="top" wrapText="1"/>
    </xf>
    <xf numFmtId="0" fontId="11" fillId="7" borderId="2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0" fillId="0" borderId="2" xfId="0" applyFont="1" applyBorder="1" applyAlignment="1">
      <alignment horizontal="left" vertical="top" wrapText="1"/>
    </xf>
    <xf numFmtId="9" fontId="21" fillId="0" borderId="2" xfId="0" applyNumberFormat="1" applyFont="1" applyBorder="1" applyAlignment="1">
      <alignment horizontal="center" vertical="top" wrapText="1"/>
    </xf>
    <xf numFmtId="0" fontId="23" fillId="0" borderId="2" xfId="0" applyFont="1" applyBorder="1" applyAlignment="1">
      <alignment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top" wrapText="1"/>
    </xf>
    <xf numFmtId="4" fontId="21" fillId="0" borderId="2" xfId="0" applyNumberFormat="1" applyFont="1" applyBorder="1" applyAlignment="1">
      <alignment horizontal="center" vertical="top" wrapText="1"/>
    </xf>
    <xf numFmtId="2" fontId="20" fillId="0" borderId="2" xfId="0" applyNumberFormat="1" applyFont="1" applyBorder="1" applyAlignment="1">
      <alignment horizontal="center" vertical="top" wrapText="1"/>
    </xf>
    <xf numFmtId="9" fontId="21" fillId="0" borderId="2" xfId="2" applyFont="1" applyBorder="1" applyAlignment="1">
      <alignment horizontal="center" vertical="top" wrapText="1"/>
    </xf>
    <xf numFmtId="49" fontId="21" fillId="0" borderId="2" xfId="0" applyNumberFormat="1" applyFont="1" applyBorder="1" applyAlignment="1">
      <alignment horizontal="center" vertical="top" wrapText="1"/>
    </xf>
    <xf numFmtId="10" fontId="21" fillId="0" borderId="2" xfId="0" applyNumberFormat="1" applyFont="1" applyBorder="1" applyAlignment="1">
      <alignment horizontal="center" vertical="top" wrapText="1"/>
    </xf>
    <xf numFmtId="10" fontId="20" fillId="0" borderId="2" xfId="2" applyNumberFormat="1" applyFont="1" applyBorder="1" applyAlignment="1">
      <alignment horizontal="center" vertical="top" wrapText="1"/>
    </xf>
    <xf numFmtId="10" fontId="21" fillId="0" borderId="2" xfId="0" applyNumberFormat="1" applyFont="1" applyBorder="1" applyAlignment="1">
      <alignment horizontal="center" vertical="top"/>
    </xf>
    <xf numFmtId="0" fontId="20" fillId="8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 wrapText="1"/>
    </xf>
    <xf numFmtId="49" fontId="20" fillId="8" borderId="2" xfId="1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vertical="top" readingOrder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2" fillId="0" borderId="0" xfId="0" applyFont="1" applyAlignment="1">
      <alignment horizontal="justify" vertical="top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1EC13"/>
      <color rgb="FFE4C2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14</xdr:row>
      <xdr:rowOff>0</xdr:rowOff>
    </xdr:from>
    <xdr:to>
      <xdr:col>0</xdr:col>
      <xdr:colOff>336187</xdr:colOff>
      <xdr:row>16</xdr:row>
      <xdr:rowOff>57554</xdr:rowOff>
    </xdr:to>
    <xdr:sp macro="" textlink="">
      <xdr:nvSpPr>
        <xdr:cNvPr id="8" name="AutoShape 3" descr="https://mail.google.com/mail/u/2?ui=2&amp;ik=75a2aa31e9&amp;attid=0.1&amp;permmsgid=msg-f:1674380461821240028&amp;th=173c9828a5b5a2dc&amp;view=fimg&amp;sz=s0-l75-ft&amp;attbid=ANGjdJ8M-N953wTiKPUOb_4chVuPjSUGI1fh94ut0-mbb9g5MQvcd5X4OiDwX1bEWuwMVCvExxgdCA1YRRBgFOoLs04Z2unRelTKgN692LFgncTuqhxrz4smDUU-iG8&amp;disp=emb&amp;realattid=173c938ad32df767f2e1">
          <a:extLst>
            <a:ext uri="{FF2B5EF4-FFF2-40B4-BE49-F238E27FC236}">
              <a16:creationId xmlns:a16="http://schemas.microsoft.com/office/drawing/2014/main" id="{427961F7-B91E-40F0-9C4D-CD4E5AD1914F}"/>
            </a:ext>
          </a:extLst>
        </xdr:cNvPr>
        <xdr:cNvSpPr>
          <a:spLocks noChangeAspect="1" noChangeArrowheads="1"/>
        </xdr:cNvSpPr>
      </xdr:nvSpPr>
      <xdr:spPr bwMode="auto">
        <a:xfrm>
          <a:off x="32657" y="5780314"/>
          <a:ext cx="304800" cy="6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180975</xdr:colOff>
      <xdr:row>14</xdr:row>
      <xdr:rowOff>0</xdr:rowOff>
    </xdr:from>
    <xdr:to>
      <xdr:col>0</xdr:col>
      <xdr:colOff>479107</xdr:colOff>
      <xdr:row>16</xdr:row>
      <xdr:rowOff>58624</xdr:rowOff>
    </xdr:to>
    <xdr:sp macro="" textlink="">
      <xdr:nvSpPr>
        <xdr:cNvPr id="9" name="AutoShape 8" descr="https://mail.google.com/mail/u/2?ui=2&amp;ik=75a2aa31e9&amp;attid=0.1&amp;permmsgid=msg-f:1674380461821240028&amp;th=173c9828a5b5a2dc&amp;view=fimg&amp;sz=s0-l75-ft&amp;attbid=ANGjdJ8M-N953wTiKPUOb_4chVuPjSUGI1fh94ut0-mbb9g5MQvcd5X4OiDwX1bEWuwMVCvExxgdCA1YRRBgFOoLs04Z2unRelTKgN692LFgncTuqhxrz4smDUU-iG8&amp;disp=emb&amp;realattid=173c938ad32df767f2e1">
          <a:extLst>
            <a:ext uri="{FF2B5EF4-FFF2-40B4-BE49-F238E27FC236}">
              <a16:creationId xmlns:a16="http://schemas.microsoft.com/office/drawing/2014/main" id="{0BD2D8EA-4147-424B-9A55-D7815A5C4219}"/>
            </a:ext>
          </a:extLst>
        </xdr:cNvPr>
        <xdr:cNvSpPr>
          <a:spLocks noChangeAspect="1" noChangeArrowheads="1"/>
        </xdr:cNvSpPr>
      </xdr:nvSpPr>
      <xdr:spPr bwMode="auto">
        <a:xfrm>
          <a:off x="177800" y="4673600"/>
          <a:ext cx="300672" cy="289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11</xdr:row>
      <xdr:rowOff>789508</xdr:rowOff>
    </xdr:to>
    <xdr:sp macro="" textlink="">
      <xdr:nvSpPr>
        <xdr:cNvPr id="10" name="AutoShape 3" descr="https://mail.google.com/mail/u/2?ui=2&amp;ik=75a2aa31e9&amp;attid=0.1&amp;permmsgid=msg-f:1674380461821240028&amp;th=173c9828a5b5a2dc&amp;view=fimg&amp;sz=s0-l75-ft&amp;attbid=ANGjdJ8M-N953wTiKPUOb_4chVuPjSUGI1fh94ut0-mbb9g5MQvcd5X4OiDwX1bEWuwMVCvExxgdCA1YRRBgFOoLs04Z2unRelTKgN692LFgncTuqhxrz4smDUU-iG8&amp;disp=emb&amp;realattid=173c938ad32df767f2e1">
          <a:extLst>
            <a:ext uri="{FF2B5EF4-FFF2-40B4-BE49-F238E27FC236}">
              <a16:creationId xmlns:a16="http://schemas.microsoft.com/office/drawing/2014/main" id="{B52B6A62-649E-4199-9AC6-0F786452981C}"/>
            </a:ext>
          </a:extLst>
        </xdr:cNvPr>
        <xdr:cNvSpPr>
          <a:spLocks noChangeAspect="1" noChangeArrowheads="1"/>
        </xdr:cNvSpPr>
      </xdr:nvSpPr>
      <xdr:spPr bwMode="auto">
        <a:xfrm>
          <a:off x="0" y="3943350"/>
          <a:ext cx="304800" cy="62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52"/>
  <sheetViews>
    <sheetView tabSelected="1" zoomScale="60" zoomScaleNormal="60" workbookViewId="0">
      <selection activeCell="I7" sqref="I7"/>
    </sheetView>
  </sheetViews>
  <sheetFormatPr baseColWidth="10" defaultColWidth="11.54296875" defaultRowHeight="14.5" x14ac:dyDescent="0.35"/>
  <cols>
    <col min="1" max="1" width="47.54296875" customWidth="1"/>
    <col min="2" max="2" width="25.1796875" style="14" customWidth="1"/>
    <col min="3" max="3" width="19.453125" customWidth="1"/>
    <col min="4" max="4" width="21.81640625" customWidth="1"/>
    <col min="5" max="5" width="21.1796875" customWidth="1"/>
    <col min="6" max="6" width="19.453125" customWidth="1"/>
    <col min="7" max="7" width="20.81640625" customWidth="1"/>
    <col min="8" max="8" width="20.90625" customWidth="1"/>
    <col min="9" max="9" width="29.1796875" customWidth="1"/>
    <col min="10" max="10" width="19.08984375" customWidth="1"/>
    <col min="11" max="11" width="18.90625" customWidth="1"/>
    <col min="12" max="12" width="55.453125" customWidth="1"/>
    <col min="13" max="13" width="49.1796875" customWidth="1"/>
    <col min="14" max="14" width="31.7265625" customWidth="1"/>
    <col min="15" max="15" width="31" customWidth="1"/>
    <col min="16" max="16" width="32.7265625" customWidth="1"/>
  </cols>
  <sheetData>
    <row r="2" spans="1:16" ht="21" x14ac:dyDescent="0.5">
      <c r="A2" s="73" t="s">
        <v>142</v>
      </c>
      <c r="B2" s="73"/>
      <c r="C2" s="73"/>
      <c r="D2" s="73"/>
      <c r="E2" s="73"/>
      <c r="F2" s="73"/>
      <c r="G2" s="73"/>
      <c r="H2" s="73"/>
      <c r="I2" s="6"/>
      <c r="J2" s="6"/>
      <c r="K2" s="6"/>
    </row>
    <row r="3" spans="1:16" ht="21" x14ac:dyDescent="0.5">
      <c r="A3" s="73" t="s">
        <v>0</v>
      </c>
      <c r="B3" s="73"/>
      <c r="C3" s="73"/>
      <c r="D3" s="73"/>
      <c r="E3" s="73"/>
      <c r="F3" s="73"/>
      <c r="G3" s="73"/>
      <c r="H3" s="73"/>
      <c r="I3" s="6"/>
      <c r="J3" s="6"/>
      <c r="K3" s="6"/>
    </row>
    <row r="4" spans="1:16" ht="21" x14ac:dyDescent="0.5">
      <c r="A4" s="4"/>
      <c r="B4" s="54"/>
      <c r="C4" s="4"/>
      <c r="D4" s="4"/>
      <c r="E4" s="4"/>
      <c r="F4" s="4"/>
      <c r="G4" s="4"/>
      <c r="H4" s="4"/>
      <c r="I4" s="4"/>
      <c r="J4" s="4"/>
      <c r="K4" s="4"/>
    </row>
    <row r="5" spans="1:16" ht="23" x14ac:dyDescent="0.7">
      <c r="A5" s="74" t="s">
        <v>1</v>
      </c>
      <c r="B5" s="74"/>
      <c r="C5" s="74"/>
      <c r="D5" s="74"/>
      <c r="E5" s="74"/>
      <c r="F5" s="74"/>
      <c r="G5" s="74"/>
      <c r="H5" s="74"/>
      <c r="I5" s="4"/>
      <c r="J5" s="4"/>
      <c r="K5" s="4"/>
    </row>
    <row r="6" spans="1:16" ht="21" x14ac:dyDescent="0.5">
      <c r="A6" s="4"/>
      <c r="B6" s="54"/>
      <c r="C6" s="4"/>
      <c r="D6" s="4"/>
      <c r="E6" s="4"/>
      <c r="F6" s="4"/>
      <c r="G6" s="4"/>
      <c r="H6" s="4"/>
      <c r="I6" s="4"/>
      <c r="J6" s="4"/>
      <c r="K6" s="4"/>
    </row>
    <row r="7" spans="1:16" ht="90" customHeight="1" x14ac:dyDescent="0.35">
      <c r="A7" s="68" t="s">
        <v>2</v>
      </c>
      <c r="B7" s="68" t="s">
        <v>3</v>
      </c>
      <c r="C7" s="68" t="s">
        <v>4</v>
      </c>
      <c r="D7" s="69" t="s">
        <v>5</v>
      </c>
      <c r="E7" s="69" t="s">
        <v>6</v>
      </c>
      <c r="F7" s="70" t="s">
        <v>99</v>
      </c>
      <c r="G7" s="70" t="s">
        <v>100</v>
      </c>
      <c r="H7" s="70" t="s">
        <v>25</v>
      </c>
      <c r="I7" s="40"/>
      <c r="J7" s="40"/>
      <c r="K7" s="40"/>
      <c r="L7" s="40"/>
      <c r="M7" s="40"/>
      <c r="N7" s="40"/>
      <c r="O7" s="40"/>
      <c r="P7" s="40"/>
    </row>
    <row r="8" spans="1:16" ht="15.5" x14ac:dyDescent="0.35">
      <c r="A8" s="7"/>
      <c r="B8" s="51"/>
      <c r="C8" s="7"/>
      <c r="D8" s="8"/>
      <c r="E8" s="8"/>
      <c r="F8" s="8"/>
      <c r="G8" s="16"/>
      <c r="H8" s="16"/>
      <c r="I8" s="41"/>
      <c r="J8" s="41"/>
      <c r="K8" s="42"/>
      <c r="L8" s="42"/>
      <c r="M8" s="42"/>
      <c r="N8" s="42"/>
      <c r="O8" s="42"/>
      <c r="P8" s="42"/>
    </row>
    <row r="9" spans="1:16" ht="73.5" customHeight="1" x14ac:dyDescent="0.35">
      <c r="A9" s="56" t="s">
        <v>7</v>
      </c>
      <c r="B9" s="21" t="s">
        <v>109</v>
      </c>
      <c r="C9" s="21" t="s">
        <v>8</v>
      </c>
      <c r="D9" s="21">
        <v>751</v>
      </c>
      <c r="E9" s="21" t="s">
        <v>9</v>
      </c>
      <c r="F9" s="57">
        <v>0</v>
      </c>
      <c r="G9" s="18" t="s">
        <v>35</v>
      </c>
      <c r="H9" s="58" t="s">
        <v>102</v>
      </c>
      <c r="I9" s="79"/>
      <c r="J9" s="80"/>
      <c r="K9" s="81"/>
      <c r="L9" s="82"/>
      <c r="M9" s="80"/>
      <c r="N9" s="80"/>
      <c r="O9" s="80"/>
      <c r="P9" s="80"/>
    </row>
    <row r="10" spans="1:16" ht="68" customHeight="1" x14ac:dyDescent="0.35">
      <c r="A10" s="59" t="s">
        <v>10</v>
      </c>
      <c r="B10" s="60" t="s">
        <v>110</v>
      </c>
      <c r="C10" s="60" t="s">
        <v>11</v>
      </c>
      <c r="D10" s="61">
        <v>3.68</v>
      </c>
      <c r="E10" s="62">
        <v>3.88</v>
      </c>
      <c r="F10" s="63">
        <v>0</v>
      </c>
      <c r="G10" s="18" t="s">
        <v>35</v>
      </c>
      <c r="H10" s="58" t="s">
        <v>103</v>
      </c>
      <c r="I10" s="79"/>
      <c r="J10" s="80"/>
      <c r="K10" s="81"/>
      <c r="L10" s="82"/>
      <c r="M10" s="80"/>
      <c r="N10" s="80"/>
      <c r="O10" s="80"/>
      <c r="P10" s="80"/>
    </row>
    <row r="11" spans="1:16" ht="77" customHeight="1" x14ac:dyDescent="0.35">
      <c r="A11" s="59" t="s">
        <v>12</v>
      </c>
      <c r="B11" s="60" t="s">
        <v>104</v>
      </c>
      <c r="C11" s="64" t="s">
        <v>13</v>
      </c>
      <c r="D11" s="60">
        <v>26</v>
      </c>
      <c r="E11" s="62">
        <v>34.770000000000003</v>
      </c>
      <c r="F11" s="63">
        <v>0</v>
      </c>
      <c r="G11" s="18" t="s">
        <v>35</v>
      </c>
      <c r="H11" s="58" t="s">
        <v>103</v>
      </c>
      <c r="I11" s="53"/>
      <c r="J11" s="43"/>
      <c r="K11" s="44"/>
      <c r="L11" s="45"/>
      <c r="M11" s="46"/>
      <c r="N11" s="43"/>
      <c r="O11" s="47"/>
      <c r="P11" s="43"/>
    </row>
    <row r="12" spans="1:16" ht="84.5" customHeight="1" x14ac:dyDescent="0.35">
      <c r="A12" s="59" t="s">
        <v>14</v>
      </c>
      <c r="B12" s="60" t="s">
        <v>111</v>
      </c>
      <c r="C12" s="64" t="s">
        <v>15</v>
      </c>
      <c r="D12" s="60">
        <v>63.2</v>
      </c>
      <c r="E12" s="62">
        <v>61.61</v>
      </c>
      <c r="F12" s="63">
        <f>E12/D12</f>
        <v>0.97484177215189871</v>
      </c>
      <c r="G12" s="17" t="s">
        <v>30</v>
      </c>
      <c r="H12" s="58" t="s">
        <v>103</v>
      </c>
      <c r="I12" s="53"/>
      <c r="J12" s="43"/>
      <c r="K12" s="48"/>
      <c r="L12" s="45"/>
      <c r="M12" s="47"/>
      <c r="N12" s="43"/>
      <c r="O12" s="49"/>
      <c r="P12" s="43"/>
    </row>
    <row r="13" spans="1:16" ht="130.5" customHeight="1" x14ac:dyDescent="0.35">
      <c r="A13" s="59" t="s">
        <v>108</v>
      </c>
      <c r="B13" s="60" t="s">
        <v>105</v>
      </c>
      <c r="C13" s="60" t="s">
        <v>16</v>
      </c>
      <c r="D13" s="65">
        <v>5.5E-2</v>
      </c>
      <c r="E13" s="66">
        <v>0.1653</v>
      </c>
      <c r="F13" s="67">
        <f>(16.53-5.5)/(6-5.5)</f>
        <v>22.060000000000002</v>
      </c>
      <c r="G13" s="17" t="s">
        <v>30</v>
      </c>
      <c r="H13" s="58" t="s">
        <v>103</v>
      </c>
      <c r="I13" s="52"/>
      <c r="J13" s="11"/>
      <c r="K13" s="50"/>
      <c r="L13" s="10"/>
      <c r="M13" s="49"/>
      <c r="N13" s="11"/>
      <c r="O13" s="49"/>
      <c r="P13" s="11"/>
    </row>
    <row r="14" spans="1:16" ht="21" x14ac:dyDescent="0.5">
      <c r="A14" s="9"/>
      <c r="B14" s="11"/>
      <c r="C14" s="11"/>
      <c r="D14" s="12"/>
      <c r="E14" s="13"/>
      <c r="F14" s="14"/>
      <c r="G14" s="15"/>
      <c r="H14" s="4"/>
      <c r="K14" s="4"/>
    </row>
    <row r="15" spans="1:16" ht="21" x14ac:dyDescent="0.5">
      <c r="A15" s="6"/>
      <c r="B15" s="54"/>
      <c r="C15" s="6"/>
      <c r="D15" s="6"/>
      <c r="E15" s="6"/>
      <c r="F15" s="6"/>
      <c r="G15" s="6"/>
      <c r="H15" s="6"/>
      <c r="I15" s="6"/>
      <c r="J15" s="6"/>
    </row>
    <row r="16" spans="1:16" ht="23" x14ac:dyDescent="0.7">
      <c r="A16" s="74" t="s">
        <v>141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</row>
    <row r="17" spans="1:11" ht="15" thickBot="1" x14ac:dyDescent="0.4"/>
    <row r="18" spans="1:11" s="1" customFormat="1" ht="92.15" customHeight="1" thickTop="1" x14ac:dyDescent="0.35">
      <c r="A18" s="2" t="s">
        <v>17</v>
      </c>
      <c r="B18" s="2" t="s">
        <v>3</v>
      </c>
      <c r="C18" s="2" t="s">
        <v>18</v>
      </c>
      <c r="D18" s="2" t="s">
        <v>19</v>
      </c>
      <c r="E18" s="3" t="s">
        <v>20</v>
      </c>
      <c r="F18" s="3" t="s">
        <v>21</v>
      </c>
      <c r="G18" s="3" t="s">
        <v>22</v>
      </c>
      <c r="H18" s="5" t="s">
        <v>23</v>
      </c>
      <c r="I18" s="3" t="s">
        <v>24</v>
      </c>
      <c r="J18" s="3" t="s">
        <v>101</v>
      </c>
      <c r="K18" s="3" t="s">
        <v>25</v>
      </c>
    </row>
    <row r="19" spans="1:11" ht="106.4" customHeight="1" x14ac:dyDescent="0.35">
      <c r="A19" s="20" t="s">
        <v>26</v>
      </c>
      <c r="B19" s="21" t="s">
        <v>27</v>
      </c>
      <c r="C19" s="21" t="s">
        <v>28</v>
      </c>
      <c r="D19" s="21" t="s">
        <v>29</v>
      </c>
      <c r="E19" s="22">
        <v>0.88100000000000001</v>
      </c>
      <c r="F19" s="22">
        <v>0.88600000000000001</v>
      </c>
      <c r="G19" s="22">
        <v>0.91400000000000003</v>
      </c>
      <c r="H19" s="22">
        <f>(91.4%/95)*100</f>
        <v>0.96210526315789491</v>
      </c>
      <c r="I19" s="23">
        <f>((91.4-50.97)/(95-50.97))*100</f>
        <v>91.823756529638899</v>
      </c>
      <c r="J19" s="17" t="s">
        <v>30</v>
      </c>
      <c r="K19" s="32" t="s">
        <v>31</v>
      </c>
    </row>
    <row r="20" spans="1:11" ht="99" customHeight="1" x14ac:dyDescent="0.35">
      <c r="A20" s="20" t="s">
        <v>32</v>
      </c>
      <c r="B20" s="21" t="s">
        <v>112</v>
      </c>
      <c r="C20" s="21" t="s">
        <v>33</v>
      </c>
      <c r="D20" s="21" t="s">
        <v>34</v>
      </c>
      <c r="E20" s="22">
        <v>0.17960000000000001</v>
      </c>
      <c r="F20" s="22">
        <v>0.17960000000000001</v>
      </c>
      <c r="G20" s="22">
        <v>0.17960000000000001</v>
      </c>
      <c r="H20" s="22">
        <f>17.96/43.53</f>
        <v>0.41258901906730994</v>
      </c>
      <c r="I20" s="23">
        <f>((17.96-12.88)/(43.53-12.88))*100</f>
        <v>16.574225122349105</v>
      </c>
      <c r="J20" s="18" t="s">
        <v>35</v>
      </c>
      <c r="K20" s="32" t="s">
        <v>31</v>
      </c>
    </row>
    <row r="21" spans="1:11" ht="112.4" customHeight="1" x14ac:dyDescent="0.35">
      <c r="A21" s="20" t="s">
        <v>36</v>
      </c>
      <c r="B21" s="21" t="s">
        <v>112</v>
      </c>
      <c r="C21" s="21" t="s">
        <v>37</v>
      </c>
      <c r="D21" s="21" t="s">
        <v>38</v>
      </c>
      <c r="E21" s="22">
        <v>0.95</v>
      </c>
      <c r="F21" s="22">
        <v>0.81</v>
      </c>
      <c r="G21" s="22">
        <v>1</v>
      </c>
      <c r="H21" s="22">
        <f>100/100</f>
        <v>1</v>
      </c>
      <c r="I21" s="23">
        <f>((100-7)/(100-7))*100</f>
        <v>100</v>
      </c>
      <c r="J21" s="17" t="s">
        <v>30</v>
      </c>
      <c r="K21" s="32" t="s">
        <v>31</v>
      </c>
    </row>
    <row r="22" spans="1:11" ht="113.15" customHeight="1" x14ac:dyDescent="0.35">
      <c r="A22" s="20" t="s">
        <v>39</v>
      </c>
      <c r="B22" s="21" t="s">
        <v>113</v>
      </c>
      <c r="C22" s="24" t="s">
        <v>40</v>
      </c>
      <c r="D22" s="25" t="s">
        <v>41</v>
      </c>
      <c r="E22" s="21">
        <v>2</v>
      </c>
      <c r="F22" s="21">
        <v>4</v>
      </c>
      <c r="G22" s="21">
        <v>5</v>
      </c>
      <c r="H22" s="22">
        <f>(5/6)</f>
        <v>0.83333333333333337</v>
      </c>
      <c r="I22" s="23">
        <f>(5/6)*100</f>
        <v>83.333333333333343</v>
      </c>
      <c r="J22" s="19" t="s">
        <v>42</v>
      </c>
      <c r="K22" s="32" t="s">
        <v>31</v>
      </c>
    </row>
    <row r="23" spans="1:11" ht="116.5" customHeight="1" x14ac:dyDescent="0.35">
      <c r="A23" s="20" t="s">
        <v>43</v>
      </c>
      <c r="B23" s="21" t="s">
        <v>114</v>
      </c>
      <c r="C23" s="21" t="s">
        <v>44</v>
      </c>
      <c r="D23" s="21" t="s">
        <v>45</v>
      </c>
      <c r="E23" s="26">
        <v>0</v>
      </c>
      <c r="F23" s="27">
        <v>0</v>
      </c>
      <c r="G23" s="27">
        <v>0</v>
      </c>
      <c r="H23" s="28">
        <v>0</v>
      </c>
      <c r="I23" s="29">
        <f>(0/25)*100</f>
        <v>0</v>
      </c>
      <c r="J23" s="18" t="s">
        <v>35</v>
      </c>
      <c r="K23" s="32" t="s">
        <v>46</v>
      </c>
    </row>
    <row r="24" spans="1:11" ht="141.65" customHeight="1" x14ac:dyDescent="0.35">
      <c r="A24" s="20" t="s">
        <v>47</v>
      </c>
      <c r="B24" s="21" t="s">
        <v>115</v>
      </c>
      <c r="C24" s="21" t="s">
        <v>48</v>
      </c>
      <c r="D24" s="21" t="s">
        <v>49</v>
      </c>
      <c r="E24" s="26">
        <v>0</v>
      </c>
      <c r="F24" s="27">
        <v>0</v>
      </c>
      <c r="G24" s="27">
        <v>0</v>
      </c>
      <c r="H24" s="28">
        <v>0</v>
      </c>
      <c r="I24" s="29">
        <f>(0/25)*100</f>
        <v>0</v>
      </c>
      <c r="J24" s="18" t="s">
        <v>35</v>
      </c>
      <c r="K24" s="32" t="s">
        <v>50</v>
      </c>
    </row>
    <row r="25" spans="1:11" ht="136" customHeight="1" x14ac:dyDescent="0.35">
      <c r="A25" s="20" t="s">
        <v>116</v>
      </c>
      <c r="B25" s="21" t="s">
        <v>117</v>
      </c>
      <c r="C25" s="21" t="s">
        <v>51</v>
      </c>
      <c r="D25" s="21" t="s">
        <v>52</v>
      </c>
      <c r="E25" s="26">
        <v>7.0000000000000007E-2</v>
      </c>
      <c r="F25" s="27">
        <v>7.0000000000000007E-2</v>
      </c>
      <c r="G25" s="27">
        <v>7.0000000000000007E-2</v>
      </c>
      <c r="H25" s="28">
        <f>7/12</f>
        <v>0.58333333333333337</v>
      </c>
      <c r="I25" s="29">
        <f>(7/12)*100</f>
        <v>58.333333333333336</v>
      </c>
      <c r="J25" s="19" t="s">
        <v>42</v>
      </c>
      <c r="K25" s="32" t="s">
        <v>50</v>
      </c>
    </row>
    <row r="26" spans="1:11" ht="129.65" customHeight="1" x14ac:dyDescent="0.35">
      <c r="A26" s="20" t="s">
        <v>118</v>
      </c>
      <c r="B26" s="21" t="s">
        <v>119</v>
      </c>
      <c r="C26" s="21" t="s">
        <v>53</v>
      </c>
      <c r="D26" s="21" t="s">
        <v>54</v>
      </c>
      <c r="E26" s="28">
        <v>0.27700000000000002</v>
      </c>
      <c r="F26" s="28">
        <v>0.31619999999999998</v>
      </c>
      <c r="G26" s="28">
        <v>0.34</v>
      </c>
      <c r="H26" s="28">
        <f>34/96.25</f>
        <v>0.35324675324675325</v>
      </c>
      <c r="I26" s="29">
        <f>(34-12)/(96.25-12)*100</f>
        <v>26.112759643916917</v>
      </c>
      <c r="J26" s="18" t="s">
        <v>35</v>
      </c>
      <c r="K26" s="32" t="s">
        <v>55</v>
      </c>
    </row>
    <row r="27" spans="1:11" ht="122.5" customHeight="1" x14ac:dyDescent="0.35">
      <c r="A27" s="20" t="s">
        <v>56</v>
      </c>
      <c r="B27" s="21" t="s">
        <v>120</v>
      </c>
      <c r="C27" s="21" t="s">
        <v>57</v>
      </c>
      <c r="D27" s="21" t="s">
        <v>58</v>
      </c>
      <c r="E27" s="22">
        <v>5.8799999999999998E-2</v>
      </c>
      <c r="F27" s="28">
        <v>5.8799999999999998E-2</v>
      </c>
      <c r="G27" s="28">
        <v>5.8799999999999998E-2</v>
      </c>
      <c r="H27" s="28">
        <f>5.88/22</f>
        <v>0.26727272727272727</v>
      </c>
      <c r="I27" s="23">
        <f>((5.88-7)/(22-7)*100)*0</f>
        <v>0</v>
      </c>
      <c r="J27" s="18" t="s">
        <v>35</v>
      </c>
      <c r="K27" s="32" t="s">
        <v>59</v>
      </c>
    </row>
    <row r="28" spans="1:11" ht="102" customHeight="1" x14ac:dyDescent="0.35">
      <c r="A28" s="30" t="s">
        <v>121</v>
      </c>
      <c r="B28" s="21" t="s">
        <v>122</v>
      </c>
      <c r="C28" s="21" t="s">
        <v>60</v>
      </c>
      <c r="D28" s="21" t="s">
        <v>61</v>
      </c>
      <c r="E28" s="26">
        <v>0</v>
      </c>
      <c r="F28" s="26">
        <v>0</v>
      </c>
      <c r="G28" s="26">
        <v>0</v>
      </c>
      <c r="H28" s="22">
        <f>0/7</f>
        <v>0</v>
      </c>
      <c r="I28" s="29">
        <f>0/7*100</f>
        <v>0</v>
      </c>
      <c r="J28" s="18" t="s">
        <v>35</v>
      </c>
      <c r="K28" s="32" t="s">
        <v>62</v>
      </c>
    </row>
    <row r="29" spans="1:11" ht="158.15" customHeight="1" x14ac:dyDescent="0.35">
      <c r="A29" s="20" t="s">
        <v>63</v>
      </c>
      <c r="B29" s="21" t="s">
        <v>122</v>
      </c>
      <c r="C29" s="21" t="s">
        <v>64</v>
      </c>
      <c r="D29" s="21" t="s">
        <v>65</v>
      </c>
      <c r="E29" s="22">
        <v>6.6000000000000003E-2</v>
      </c>
      <c r="F29" s="22">
        <v>6.6000000000000003E-2</v>
      </c>
      <c r="G29" s="22">
        <v>6.6000000000000003E-2</v>
      </c>
      <c r="H29" s="22">
        <f>6.6/44</f>
        <v>0.15</v>
      </c>
      <c r="I29" s="23">
        <f>((6.6-3)/(44-3)*100)</f>
        <v>8.7804878048780477</v>
      </c>
      <c r="J29" s="18" t="s">
        <v>35</v>
      </c>
      <c r="K29" s="32" t="s">
        <v>62</v>
      </c>
    </row>
    <row r="30" spans="1:11" ht="135.65" customHeight="1" x14ac:dyDescent="0.35">
      <c r="A30" s="20" t="s">
        <v>123</v>
      </c>
      <c r="B30" s="21" t="s">
        <v>124</v>
      </c>
      <c r="C30" s="21" t="s">
        <v>66</v>
      </c>
      <c r="D30" s="21" t="s">
        <v>67</v>
      </c>
      <c r="E30" s="22">
        <v>9.9299999999999999E-2</v>
      </c>
      <c r="F30" s="22">
        <v>0.46029999999999999</v>
      </c>
      <c r="G30" s="22">
        <v>0.48199999999999998</v>
      </c>
      <c r="H30" s="22">
        <f>48.2/43</f>
        <v>1.1209302325581396</v>
      </c>
      <c r="I30" s="23">
        <f>((48.2-1)/(43-1))*100</f>
        <v>112.38095238095238</v>
      </c>
      <c r="J30" s="17" t="s">
        <v>30</v>
      </c>
      <c r="K30" s="32" t="s">
        <v>46</v>
      </c>
    </row>
    <row r="31" spans="1:11" ht="108.75" customHeight="1" x14ac:dyDescent="0.35">
      <c r="A31" s="20" t="s">
        <v>125</v>
      </c>
      <c r="B31" s="21" t="s">
        <v>68</v>
      </c>
      <c r="C31" s="21" t="s">
        <v>69</v>
      </c>
      <c r="D31" s="21" t="s">
        <v>70</v>
      </c>
      <c r="E31" s="22">
        <v>0.50870000000000004</v>
      </c>
      <c r="F31" s="22">
        <v>0.54400000000000004</v>
      </c>
      <c r="G31" s="22">
        <v>0.61</v>
      </c>
      <c r="H31" s="22">
        <f>61/100</f>
        <v>0.61</v>
      </c>
      <c r="I31" s="23">
        <f>((61-9.15)/(100-9.15))*100</f>
        <v>57.072096862960933</v>
      </c>
      <c r="J31" s="19" t="s">
        <v>42</v>
      </c>
      <c r="K31" s="32" t="s">
        <v>46</v>
      </c>
    </row>
    <row r="32" spans="1:11" ht="120" customHeight="1" x14ac:dyDescent="0.35">
      <c r="A32" s="20" t="s">
        <v>126</v>
      </c>
      <c r="B32" s="21" t="s">
        <v>68</v>
      </c>
      <c r="C32" s="21" t="s">
        <v>71</v>
      </c>
      <c r="D32" s="21" t="s">
        <v>72</v>
      </c>
      <c r="E32" s="22">
        <v>0.65280000000000005</v>
      </c>
      <c r="F32" s="22">
        <v>0.6542</v>
      </c>
      <c r="G32" s="22">
        <v>0.6542</v>
      </c>
      <c r="H32" s="22">
        <f>65.42/100</f>
        <v>0.6542</v>
      </c>
      <c r="I32" s="23">
        <f>((65.42-44.37)/(100-44.37))*100</f>
        <v>37.839295344238728</v>
      </c>
      <c r="J32" s="18" t="s">
        <v>35</v>
      </c>
      <c r="K32" s="32" t="s">
        <v>46</v>
      </c>
    </row>
    <row r="33" spans="1:11" ht="135" customHeight="1" x14ac:dyDescent="0.35">
      <c r="A33" s="20" t="s">
        <v>127</v>
      </c>
      <c r="B33" s="21" t="s">
        <v>73</v>
      </c>
      <c r="C33" s="21" t="s">
        <v>74</v>
      </c>
      <c r="D33" s="21" t="s">
        <v>75</v>
      </c>
      <c r="E33" s="21">
        <v>281.95</v>
      </c>
      <c r="F33" s="21">
        <v>281.95</v>
      </c>
      <c r="G33" s="21">
        <v>282.95999999999998</v>
      </c>
      <c r="H33" s="22">
        <f>281.95/402.19</f>
        <v>0.70103682339192919</v>
      </c>
      <c r="I33" s="23">
        <f>((282.96-143.8)/(402.19-143.8))*100</f>
        <v>53.856573396803277</v>
      </c>
      <c r="J33" s="19" t="s">
        <v>42</v>
      </c>
      <c r="K33" s="32" t="s">
        <v>46</v>
      </c>
    </row>
    <row r="34" spans="1:11" ht="131.5" customHeight="1" x14ac:dyDescent="0.35">
      <c r="A34" s="20" t="s">
        <v>128</v>
      </c>
      <c r="B34" s="21" t="s">
        <v>129</v>
      </c>
      <c r="C34" s="24" t="s">
        <v>76</v>
      </c>
      <c r="D34" s="21" t="s">
        <v>77</v>
      </c>
      <c r="E34" s="31">
        <v>7</v>
      </c>
      <c r="F34" s="31">
        <v>7</v>
      </c>
      <c r="G34" s="31">
        <v>15</v>
      </c>
      <c r="H34" s="22">
        <f>15/30</f>
        <v>0.5</v>
      </c>
      <c r="I34" s="23">
        <f>(15/30)*100</f>
        <v>50</v>
      </c>
      <c r="J34" s="19" t="s">
        <v>42</v>
      </c>
      <c r="K34" s="32" t="s">
        <v>46</v>
      </c>
    </row>
    <row r="35" spans="1:11" ht="103.4" customHeight="1" x14ac:dyDescent="0.35">
      <c r="A35" s="20" t="s">
        <v>130</v>
      </c>
      <c r="B35" s="21" t="s">
        <v>131</v>
      </c>
      <c r="C35" s="21" t="s">
        <v>78</v>
      </c>
      <c r="D35" s="21" t="s">
        <v>79</v>
      </c>
      <c r="E35" s="22">
        <v>0.21379999999999999</v>
      </c>
      <c r="F35" s="22">
        <v>0.21379999999999999</v>
      </c>
      <c r="G35" s="22">
        <v>0.21379999999999999</v>
      </c>
      <c r="H35" s="22">
        <f>21.38/70</f>
        <v>0.30542857142857144</v>
      </c>
      <c r="I35" s="23">
        <f>((21.38-12)/(70-12))*100</f>
        <v>16.172413793103445</v>
      </c>
      <c r="J35" s="18" t="s">
        <v>35</v>
      </c>
      <c r="K35" s="32" t="s">
        <v>98</v>
      </c>
    </row>
    <row r="36" spans="1:11" ht="107.5" customHeight="1" x14ac:dyDescent="0.35">
      <c r="A36" s="20" t="s">
        <v>132</v>
      </c>
      <c r="B36" s="21" t="s">
        <v>131</v>
      </c>
      <c r="C36" s="21" t="s">
        <v>80</v>
      </c>
      <c r="D36" s="21" t="s">
        <v>81</v>
      </c>
      <c r="E36" s="22">
        <v>0</v>
      </c>
      <c r="F36" s="22">
        <v>0</v>
      </c>
      <c r="G36" s="22">
        <v>0</v>
      </c>
      <c r="H36" s="22">
        <f>0/7</f>
        <v>0</v>
      </c>
      <c r="I36" s="23">
        <f>(0/3)*100</f>
        <v>0</v>
      </c>
      <c r="J36" s="18" t="s">
        <v>35</v>
      </c>
      <c r="K36" s="32" t="s">
        <v>98</v>
      </c>
    </row>
    <row r="37" spans="1:11" ht="104.15" customHeight="1" x14ac:dyDescent="0.35">
      <c r="A37" s="20" t="s">
        <v>133</v>
      </c>
      <c r="B37" s="21" t="s">
        <v>131</v>
      </c>
      <c r="C37" s="21" t="s">
        <v>82</v>
      </c>
      <c r="D37" s="21" t="s">
        <v>83</v>
      </c>
      <c r="E37" s="22">
        <v>0</v>
      </c>
      <c r="F37" s="22">
        <v>0</v>
      </c>
      <c r="G37" s="22">
        <v>0</v>
      </c>
      <c r="H37" s="22">
        <f>0/7</f>
        <v>0</v>
      </c>
      <c r="I37" s="23">
        <f>(0/3)*100</f>
        <v>0</v>
      </c>
      <c r="J37" s="18" t="s">
        <v>35</v>
      </c>
      <c r="K37" s="32" t="s">
        <v>98</v>
      </c>
    </row>
    <row r="38" spans="1:11" ht="86.5" customHeight="1" x14ac:dyDescent="0.35">
      <c r="A38" s="20" t="s">
        <v>84</v>
      </c>
      <c r="B38" s="21" t="s">
        <v>134</v>
      </c>
      <c r="C38" s="21" t="s">
        <v>85</v>
      </c>
      <c r="D38" s="21" t="s">
        <v>106</v>
      </c>
      <c r="E38" s="22">
        <v>0</v>
      </c>
      <c r="F38" s="22">
        <v>0.08</v>
      </c>
      <c r="G38" s="22">
        <v>0.08</v>
      </c>
      <c r="H38" s="22">
        <f>8/12</f>
        <v>0.66666666666666663</v>
      </c>
      <c r="I38" s="23">
        <f>(8/12)*100</f>
        <v>66.666666666666657</v>
      </c>
      <c r="J38" s="19" t="s">
        <v>42</v>
      </c>
      <c r="K38" s="32" t="s">
        <v>98</v>
      </c>
    </row>
    <row r="39" spans="1:11" ht="108" customHeight="1" x14ac:dyDescent="0.35">
      <c r="A39" s="20" t="s">
        <v>135</v>
      </c>
      <c r="B39" s="21" t="s">
        <v>131</v>
      </c>
      <c r="C39" s="32" t="s">
        <v>82</v>
      </c>
      <c r="D39" s="21" t="s">
        <v>83</v>
      </c>
      <c r="E39" s="22">
        <v>0</v>
      </c>
      <c r="F39" s="22">
        <v>0</v>
      </c>
      <c r="G39" s="22">
        <v>0</v>
      </c>
      <c r="H39" s="22">
        <f>0/7</f>
        <v>0</v>
      </c>
      <c r="I39" s="23">
        <f>(0/7)*100</f>
        <v>0</v>
      </c>
      <c r="J39" s="18" t="s">
        <v>35</v>
      </c>
      <c r="K39" s="32" t="s">
        <v>98</v>
      </c>
    </row>
    <row r="40" spans="1:11" ht="108" customHeight="1" x14ac:dyDescent="0.35">
      <c r="A40" s="33" t="s">
        <v>136</v>
      </c>
      <c r="B40" s="34" t="s">
        <v>86</v>
      </c>
      <c r="C40" s="35">
        <v>0</v>
      </c>
      <c r="D40" s="34" t="s">
        <v>87</v>
      </c>
      <c r="E40" s="27">
        <v>0</v>
      </c>
      <c r="F40" s="27">
        <v>0</v>
      </c>
      <c r="G40" s="27">
        <v>0</v>
      </c>
      <c r="H40" s="28">
        <f>0/3.5</f>
        <v>0</v>
      </c>
      <c r="I40" s="23">
        <f>(0/3.5)*100</f>
        <v>0</v>
      </c>
      <c r="J40" s="18" t="s">
        <v>35</v>
      </c>
      <c r="K40" s="32" t="s">
        <v>88</v>
      </c>
    </row>
    <row r="41" spans="1:11" ht="128.5" customHeight="1" x14ac:dyDescent="0.35">
      <c r="A41" s="33" t="s">
        <v>136</v>
      </c>
      <c r="B41" s="21" t="s">
        <v>89</v>
      </c>
      <c r="C41" s="35">
        <v>0</v>
      </c>
      <c r="D41" s="34" t="s">
        <v>87</v>
      </c>
      <c r="E41" s="27">
        <v>0</v>
      </c>
      <c r="F41" s="27">
        <v>0</v>
      </c>
      <c r="G41" s="27">
        <v>0</v>
      </c>
      <c r="H41" s="28">
        <f>0/3.5</f>
        <v>0</v>
      </c>
      <c r="I41" s="23">
        <f>(0/3.5)*100</f>
        <v>0</v>
      </c>
      <c r="J41" s="18" t="s">
        <v>35</v>
      </c>
      <c r="K41" s="32" t="s">
        <v>88</v>
      </c>
    </row>
    <row r="42" spans="1:11" ht="145.5" customHeight="1" x14ac:dyDescent="0.35">
      <c r="A42" s="33" t="s">
        <v>136</v>
      </c>
      <c r="B42" s="21" t="s">
        <v>137</v>
      </c>
      <c r="C42" s="35">
        <v>0</v>
      </c>
      <c r="D42" s="34" t="s">
        <v>87</v>
      </c>
      <c r="E42" s="27">
        <v>0</v>
      </c>
      <c r="F42" s="27">
        <v>0</v>
      </c>
      <c r="G42" s="27">
        <v>0</v>
      </c>
      <c r="H42" s="28">
        <f>0/3.5</f>
        <v>0</v>
      </c>
      <c r="I42" s="23">
        <f>(0/3.5)*100</f>
        <v>0</v>
      </c>
      <c r="J42" s="18" t="s">
        <v>35</v>
      </c>
      <c r="K42" s="32" t="s">
        <v>88</v>
      </c>
    </row>
    <row r="43" spans="1:11" ht="223" customHeight="1" x14ac:dyDescent="0.35">
      <c r="A43" s="33" t="s">
        <v>136</v>
      </c>
      <c r="B43" s="34" t="s">
        <v>138</v>
      </c>
      <c r="C43" s="35" t="s">
        <v>90</v>
      </c>
      <c r="D43" s="34" t="s">
        <v>107</v>
      </c>
      <c r="E43" s="28">
        <v>0.1691</v>
      </c>
      <c r="F43" s="28">
        <v>0.1691</v>
      </c>
      <c r="G43" s="28">
        <v>0.19059999999999999</v>
      </c>
      <c r="H43" s="28">
        <f>19.06/46</f>
        <v>0.41434782608695647</v>
      </c>
      <c r="I43" s="29">
        <f>((19.06-14.97)/(46-14.97))*100</f>
        <v>13.180792781179498</v>
      </c>
      <c r="J43" s="18" t="s">
        <v>35</v>
      </c>
      <c r="K43" s="32" t="s">
        <v>88</v>
      </c>
    </row>
    <row r="44" spans="1:11" ht="126" customHeight="1" x14ac:dyDescent="0.35">
      <c r="A44" s="71" t="s">
        <v>139</v>
      </c>
      <c r="B44" s="72" t="s">
        <v>140</v>
      </c>
      <c r="C44" s="72" t="s">
        <v>91</v>
      </c>
      <c r="D44" s="72" t="s">
        <v>92</v>
      </c>
      <c r="E44" s="22">
        <v>0.37659999999999999</v>
      </c>
      <c r="F44" s="22">
        <v>0.4133</v>
      </c>
      <c r="G44" s="22">
        <v>0.47389999999999999</v>
      </c>
      <c r="H44" s="22">
        <f>47.39/80</f>
        <v>0.59237499999999998</v>
      </c>
      <c r="I44" s="23">
        <f>((47.39-27.8)/(80-27.8))*100</f>
        <v>37.52873563218391</v>
      </c>
      <c r="J44" s="18" t="s">
        <v>35</v>
      </c>
      <c r="K44" s="21" t="s">
        <v>88</v>
      </c>
    </row>
    <row r="46" spans="1:11" ht="72.650000000000006" customHeight="1" x14ac:dyDescent="0.35">
      <c r="A46" s="78" t="s">
        <v>93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1" ht="17" x14ac:dyDescent="0.4">
      <c r="A47" s="36" t="s">
        <v>35</v>
      </c>
      <c r="B47" s="75" t="s">
        <v>94</v>
      </c>
      <c r="C47" s="75"/>
      <c r="D47" s="75"/>
      <c r="E47" s="75"/>
      <c r="F47" s="75"/>
      <c r="G47" s="75"/>
      <c r="H47" s="75"/>
      <c r="I47" s="75"/>
      <c r="J47" s="75"/>
    </row>
    <row r="48" spans="1:11" ht="17" x14ac:dyDescent="0.4">
      <c r="A48" s="37"/>
      <c r="B48" s="55"/>
      <c r="C48" s="37"/>
      <c r="D48" s="37"/>
      <c r="E48" s="37"/>
      <c r="F48" s="37"/>
      <c r="G48" s="37"/>
      <c r="H48" s="37"/>
      <c r="I48" s="37"/>
      <c r="J48" s="37"/>
    </row>
    <row r="49" spans="1:10" ht="17" x14ac:dyDescent="0.4">
      <c r="A49" s="38" t="s">
        <v>42</v>
      </c>
      <c r="B49" s="75" t="s">
        <v>95</v>
      </c>
      <c r="C49" s="75"/>
      <c r="D49" s="75"/>
      <c r="E49" s="75"/>
      <c r="F49" s="75"/>
      <c r="G49" s="75"/>
      <c r="H49" s="75"/>
      <c r="I49" s="75"/>
      <c r="J49" s="75"/>
    </row>
    <row r="50" spans="1:10" ht="17" x14ac:dyDescent="0.4">
      <c r="A50" s="37"/>
      <c r="B50" s="55"/>
      <c r="C50" s="37"/>
      <c r="D50" s="37"/>
      <c r="E50" s="37"/>
      <c r="F50" s="37"/>
      <c r="G50" s="37"/>
      <c r="H50" s="37"/>
      <c r="I50" s="37"/>
      <c r="J50" s="37"/>
    </row>
    <row r="51" spans="1:10" ht="17" x14ac:dyDescent="0.4">
      <c r="A51" s="39" t="s">
        <v>96</v>
      </c>
      <c r="B51" s="76" t="s">
        <v>97</v>
      </c>
      <c r="C51" s="76"/>
      <c r="D51" s="76"/>
      <c r="E51" s="76"/>
      <c r="F51" s="76"/>
      <c r="G51" s="76"/>
      <c r="H51" s="76"/>
      <c r="I51" s="76"/>
      <c r="J51" s="76"/>
    </row>
    <row r="52" spans="1:10" ht="15.5" x14ac:dyDescent="0.35">
      <c r="A52" s="77"/>
      <c r="B52" s="77"/>
      <c r="C52" s="77"/>
      <c r="D52" s="77"/>
      <c r="E52" s="77"/>
      <c r="F52" s="77"/>
      <c r="G52" s="77"/>
      <c r="H52" s="77"/>
      <c r="I52" s="77"/>
      <c r="J52" s="77"/>
    </row>
  </sheetData>
  <mergeCells count="17">
    <mergeCell ref="P9:P10"/>
    <mergeCell ref="K9:K10"/>
    <mergeCell ref="L9:L10"/>
    <mergeCell ref="M9:M10"/>
    <mergeCell ref="N9:N10"/>
    <mergeCell ref="O9:O10"/>
    <mergeCell ref="B51:J51"/>
    <mergeCell ref="A52:J52"/>
    <mergeCell ref="A46:J46"/>
    <mergeCell ref="B47:J47"/>
    <mergeCell ref="I9:I10"/>
    <mergeCell ref="J9:J10"/>
    <mergeCell ref="A2:H2"/>
    <mergeCell ref="A3:H3"/>
    <mergeCell ref="A5:H5"/>
    <mergeCell ref="A16:K16"/>
    <mergeCell ref="B49:J49"/>
  </mergeCells>
  <hyperlinks>
    <hyperlink ref="D18" location="_ftn1" display="_ftn1" xr:uid="{00000000-0004-0000-0100-000000000000}"/>
  </hyperlinks>
  <pageMargins left="0.70866141732283472" right="0.70866141732283472" top="0.74803149606299213" bottom="0.74803149606299213" header="0.31496062992125984" footer="0.31496062992125984"/>
  <pageSetup scale="43" fitToHeight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Metas Anual PNDIP 2024</vt:lpstr>
      <vt:lpstr>'Metas Anual PNDIP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Cristina Monge Sibaja</dc:creator>
  <cp:keywords/>
  <dc:description/>
  <cp:lastModifiedBy>Laura Cristina Monge Sibaja</cp:lastModifiedBy>
  <cp:revision/>
  <dcterms:created xsi:type="dcterms:W3CDTF">2022-12-07T16:42:02Z</dcterms:created>
  <dcterms:modified xsi:type="dcterms:W3CDTF">2025-01-30T16:05:56Z</dcterms:modified>
  <cp:category/>
  <cp:contentStatus/>
</cp:coreProperties>
</file>