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ptgocr-my.sharepoint.com/personal/laura_monge_mopt_go_cr/Documents/PNDIP 2023 2026/Seguimiento I semestre 2024 PNDIP/"/>
    </mc:Choice>
  </mc:AlternateContent>
  <xr:revisionPtr revIDLastSave="28" documentId="13_ncr:1_{65BB84CE-DCFB-42A2-A022-292678312884}" xr6:coauthVersionLast="47" xr6:coauthVersionMax="47" xr10:uidLastSave="{6ACD3884-FD63-4F27-ACED-452A976AE08E}"/>
  <bookViews>
    <workbookView xWindow="-110" yWindow="-110" windowWidth="19420" windowHeight="10300" xr2:uid="{00000000-000D-0000-FFFF-FFFF00000000}"/>
  </bookViews>
  <sheets>
    <sheet name="Int. Púb. Sg.  I semestre 2024" sheetId="2" r:id="rId1"/>
  </sheets>
  <definedNames>
    <definedName name="_xlnm._FilterDatabase" localSheetId="0" hidden="1">'Int. Púb. Sg.  I semestre 2024'!$A$7:$J$33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" l="1"/>
  <c r="G33" i="2" l="1"/>
  <c r="G32" i="2"/>
  <c r="G31" i="2"/>
  <c r="G30" i="2"/>
  <c r="G29" i="2"/>
  <c r="G28" i="2"/>
  <c r="G26" i="2"/>
  <c r="G25" i="2"/>
  <c r="G17" i="2"/>
  <c r="G8" i="2"/>
  <c r="H33" i="2"/>
  <c r="H31" i="2"/>
  <c r="H30" i="2"/>
  <c r="H29" i="2"/>
  <c r="H25" i="2"/>
  <c r="H26" i="2"/>
  <c r="H24" i="2"/>
  <c r="H14" i="2"/>
  <c r="H13" i="2"/>
  <c r="H12" i="2"/>
  <c r="H11" i="2"/>
  <c r="H10" i="2"/>
  <c r="H9" i="2"/>
  <c r="H8" i="2"/>
  <c r="H27" i="2"/>
  <c r="G27" i="2"/>
  <c r="H28" i="2"/>
  <c r="G15" i="2"/>
  <c r="H23" i="2"/>
  <c r="H22" i="2"/>
  <c r="H20" i="2"/>
  <c r="G20" i="2"/>
  <c r="H21" i="2"/>
  <c r="G21" i="2"/>
  <c r="H19" i="2"/>
  <c r="G19" i="2"/>
  <c r="H17" i="2"/>
  <c r="H18" i="2"/>
  <c r="H16" i="2"/>
  <c r="H15" i="2"/>
  <c r="G16" i="2" l="1"/>
  <c r="G18" i="2"/>
  <c r="G11" i="2"/>
  <c r="G10" i="2" l="1"/>
  <c r="G9" i="2"/>
  <c r="G23" i="2"/>
  <c r="G22" i="2"/>
  <c r="G14" i="2"/>
  <c r="G24" i="2"/>
</calcChain>
</file>

<file path=xl/sharedStrings.xml><?xml version="1.0" encoding="utf-8"?>
<sst xmlns="http://schemas.openxmlformats.org/spreadsheetml/2006/main" count="190" uniqueCount="125">
  <si>
    <t>Sector Obras Públicas y Transportes</t>
  </si>
  <si>
    <t>I trimestre 2024</t>
  </si>
  <si>
    <t>Metas Institucionales</t>
  </si>
  <si>
    <t>Intervención Pública</t>
  </si>
  <si>
    <t>Indicador</t>
  </si>
  <si>
    <t>Línea base</t>
  </si>
  <si>
    <t>Meta Anual</t>
  </si>
  <si>
    <t>Porcentaje  de avance
(con respecto a la meta acumulada)*</t>
  </si>
  <si>
    <t>Porcentaje de avance metodología MIDEPLAN**</t>
  </si>
  <si>
    <t>1) 001546 Rehabilitación y ampliación a 4 carriles de la Ruta Nacional 32, sección: intersección con la Ruta Nacional 4-Limón por parte del CONAVI.</t>
  </si>
  <si>
    <t>AB1.Porcentaje acumulado de avance de obra.</t>
  </si>
  <si>
    <t xml:space="preserve">2021: 50,97%
Región: Huetar Caribe
</t>
  </si>
  <si>
    <t>2) 002172 Ampliación y Mejoramiento del Corredor Vial San José – San Ramón.</t>
  </si>
  <si>
    <t>AB1.Porcentaje acumulado de avance de etapas</t>
  </si>
  <si>
    <t xml:space="preserve">2021: 12,88% 
Región: Central
</t>
  </si>
  <si>
    <t xml:space="preserve">2024: 43,53% </t>
  </si>
  <si>
    <t>3) 002700 Rehabilitación del puente sobre el Río Virilla en la Ruta Nacional  No. 32.</t>
  </si>
  <si>
    <t xml:space="preserve">2021: 7%
Región Central
</t>
  </si>
  <si>
    <t>2024: 100% (ejecución)</t>
  </si>
  <si>
    <t>5) Programa de puentes en la red vial nacional.</t>
  </si>
  <si>
    <t>AB1.Cantidad acumulado de puentes</t>
  </si>
  <si>
    <t>2021:20</t>
  </si>
  <si>
    <t>6) Diseño y construcción del proyecto Ciudad Gobierno.</t>
  </si>
  <si>
    <t>B1. Porcentaje acumulado de avance de etapa del proyecto</t>
  </si>
  <si>
    <t>2021: 3% (perfil y prefactibilidad) Región Central</t>
  </si>
  <si>
    <t>2024: 25% (financiamiento, licitación y adjudicación, pre ejecución)</t>
  </si>
  <si>
    <t>7) 002547 Ampliación y mejoramiento de Corredor Vial San José- Caldera, Ruta N° 27.</t>
  </si>
  <si>
    <t>ABD.1 Porcentaje acumulado de avance Obra</t>
  </si>
  <si>
    <t>2021: 0% 
Regiones Central y Región Pacífico Central</t>
  </si>
  <si>
    <t>2024: 25% (Ejecución)</t>
  </si>
  <si>
    <t>8) Corredor Vial Ruta Nacional número 2 San José – Cartago</t>
  </si>
  <si>
    <t xml:space="preserve">ABD.1
Porcentaje acumulado de avance de las etapas del proyecto
</t>
  </si>
  <si>
    <t xml:space="preserve">2021: 3 %
Región central
</t>
  </si>
  <si>
    <t>2024: 12% (Licitación y adjudicación)</t>
  </si>
  <si>
    <t>11) 003288 Reforzamiento y rehabilitación del puente de acceso de la terminal Puntarenas por INCOP</t>
  </si>
  <si>
    <t xml:space="preserve">C1.Porcentaje acumulado de
avance de etapa
</t>
  </si>
  <si>
    <t xml:space="preserve">2021: 12% 
Región: Pacifico Central
</t>
  </si>
  <si>
    <t>2024: 96.25% (41,25% Ejecución)</t>
  </si>
  <si>
    <t xml:space="preserve">13) 002646 Rehabilitación y Construcción del Tren Eléctrico Limonense de Carga bajo la responsabilidad del INCOFER (TELCA). </t>
  </si>
  <si>
    <t>A1.Porcentaje acumulado de avance de etapas del proyecto</t>
  </si>
  <si>
    <t xml:space="preserve">2021: 7%
Región Huetar Caribe y Huetar Norte
</t>
  </si>
  <si>
    <t xml:space="preserve">2024: 22% 
(2% Licitación y Adjudicación y 2% Pre-Ejecución) </t>
  </si>
  <si>
    <t>14) 002788 Reconstrucción de la vía y restablecimiento del servicio ferroviario entre Puntarenas y Alajuela (TPC)</t>
  </si>
  <si>
    <t>A1.Porcentaje acumulado de avance de etapa del proyecto</t>
  </si>
  <si>
    <t xml:space="preserve">2021: 0% 
Región Central y Pacífico Central
</t>
  </si>
  <si>
    <t xml:space="preserve">2024: 7% 
(4% Etapa de Factibilidad) </t>
  </si>
  <si>
    <t>15) 002192 Construcción, equipamiento y puesta en operación de un sistema de Tren Rápido de Pasajeros (TRP) en la Gran Área Metropolitana (GAM).</t>
  </si>
  <si>
    <t xml:space="preserve">2021: 3%
Región Central
</t>
  </si>
  <si>
    <t xml:space="preserve">2024: 44% 
(1% Licitación y Adjudicación, 1% Pre Ejecución, 19% Ejecución, Línea 1)  </t>
  </si>
  <si>
    <t xml:space="preserve">ABD.1
Porcentaje acumulado de avance de etapas del proyecto
</t>
  </si>
  <si>
    <t>2021: 1%</t>
  </si>
  <si>
    <t xml:space="preserve">2024: 43% (5% Diseño, 5% Pre-ejecución, 33% Ejecución de Obra)                                                                                                                                              </t>
  </si>
  <si>
    <t>17) 002699 Construcción de los Intercambios Viales en La Lima y Taras, y ampliación y mejoramiento de la sección entre los intercambios, Ruta Nacional N°2, Cartago, MOPT</t>
  </si>
  <si>
    <t xml:space="preserve">ABD.1
Porcentaje acumulado de avance de obra.
</t>
  </si>
  <si>
    <t>2022: 9,15%</t>
  </si>
  <si>
    <t xml:space="preserve">2024: 100% (Ejecución de Obra)                                                                                                                                                     </t>
  </si>
  <si>
    <t>18) 001686 Rehabilitación y ampliación a cuatro carriles de la Ruta Nacional N°1 “Interamericana Norte”, sección: Barranca – Cañas</t>
  </si>
  <si>
    <t xml:space="preserve">ABD.1
Porcentaje acumulado de avance de obra
</t>
  </si>
  <si>
    <t>2021: 44,37%</t>
  </si>
  <si>
    <t>2024: 100%</t>
  </si>
  <si>
    <t>19) 002484 Segundo Programa de la Red Vial Cantonal</t>
  </si>
  <si>
    <t xml:space="preserve">ABD.1
Número acumulado de kilómetros rehabilitados de la Red Vial Cantonal.
</t>
  </si>
  <si>
    <t>2021: 143.8 km</t>
  </si>
  <si>
    <t xml:space="preserve">2024: 402,19 km
</t>
  </si>
  <si>
    <t>20) 002484 Segundo Programa de la Red Vial Cantonal</t>
  </si>
  <si>
    <t xml:space="preserve">ABD.1
Número acumulado de puentes intervenidos en la red vial cantonal
</t>
  </si>
  <si>
    <t>2021:0</t>
  </si>
  <si>
    <t xml:space="preserve">2024: 30 
</t>
  </si>
  <si>
    <t>21) 002786 Construcción y ampliación de la pista, área de maniobras y obras conexas del Aeropuerto Internacional Daniel Oduber Quirós</t>
  </si>
  <si>
    <t xml:space="preserve">E1.Porcentaje acumulado de
avance de las  etapas del proyecto
</t>
  </si>
  <si>
    <t xml:space="preserve">2021: 12%
Región Chorotega
</t>
  </si>
  <si>
    <t xml:space="preserve">2024: 70% 
(5% Pre ejecución, 45% Ejecución)
</t>
  </si>
  <si>
    <t>22) Construcción de la terminal de carga del Aeropuerto Internacional Daniel Oduber Quirós</t>
  </si>
  <si>
    <t>2021:0%</t>
  </si>
  <si>
    <t xml:space="preserve">2024: 7% 
(4 %Factibilidad)
</t>
  </si>
  <si>
    <t>23) Ampliación del Aeropuerto Internacional de Limón</t>
  </si>
  <si>
    <t>2021: 0%</t>
  </si>
  <si>
    <t>2024: 7% 
(4 %Factibilidad)</t>
  </si>
  <si>
    <t>24) 001172 Mejoramiento del Aeródromo La Managua, Quepos.</t>
  </si>
  <si>
    <t xml:space="preserve">E1.Porcentaje acumulado de
avance  de obra
</t>
  </si>
  <si>
    <t xml:space="preserve">2021: 0%
Región Pacífico Central
</t>
  </si>
  <si>
    <t>25) 001391 Construcción del Aeropuerto Internacional de la Zona Sur</t>
  </si>
  <si>
    <t>9) Programa de Saneamiento</t>
  </si>
  <si>
    <t>C9. Porcentaje de avance de obra del Programa de Saneamiento en zonas prioritarias.</t>
  </si>
  <si>
    <t>2024: 3.5%</t>
  </si>
  <si>
    <t>C10. Porcentaje de avance de obra del Programa de Saneamiento en zonas prioritarias
R. Pacífico Central (Cod.00413 JACO).</t>
  </si>
  <si>
    <t>C11. Porcentaje de avance de obra del Programa de Saneamiento en zonas prioritarias.
R. Brunca
(Cod.00471 GOLFITO)</t>
  </si>
  <si>
    <t>C12. Porcentaje de avance de las etapas del proyecto Ampliación y mejoramiento del sistema de alcantarillado sanitario de la Ciudad de Limón. 
R. Huetar Caribe
(Cod. 01233)</t>
  </si>
  <si>
    <t>14.97% </t>
  </si>
  <si>
    <t>C20. Porcentaje de avance de las etapas del proyecto
Reducción de Agua no contabilizada.
Cod. 1224</t>
  </si>
  <si>
    <t>27.8%</t>
  </si>
  <si>
    <t xml:space="preserve">2024: 80% 
</t>
  </si>
  <si>
    <t>4)  001197 Estudios, diseños y construcción de la Ruta Nacional  39 (Circunvalación Norte), sección Uruca (Ruta Nacional  108)-Calle Blancos (ent. Ruta Nacional Nº 109). Unidad funcional V.</t>
  </si>
  <si>
    <t xml:space="preserve">2023: 100%
</t>
  </si>
  <si>
    <t xml:space="preserve">Cumplimiento </t>
  </si>
  <si>
    <t xml:space="preserve">2021: 69%
Región Central 
</t>
  </si>
  <si>
    <t>Cuando el avance de la meta es menor a lo previsto y representa una seria amenaza para  su cumplimiento anual</t>
  </si>
  <si>
    <t xml:space="preserve">Con riesgo de incumplimiento: </t>
  </si>
  <si>
    <t>Cuando el avance de la meta es menor a lo previsto y representa una amenaza controlable para su cumplimiento al final del año</t>
  </si>
  <si>
    <t xml:space="preserve">De acuerdo con lo programado: </t>
  </si>
  <si>
    <t>Cuando el cumplimiento de la meta está de acuerdo con lo previsto.</t>
  </si>
  <si>
    <t xml:space="preserve">Con atraso crítico: </t>
  </si>
  <si>
    <t>Proyectos PNDIP sin programación 2024</t>
  </si>
  <si>
    <t xml:space="preserve">CONAVI </t>
  </si>
  <si>
    <t>MOPT</t>
  </si>
  <si>
    <t>CNC</t>
  </si>
  <si>
    <t>INCOP</t>
  </si>
  <si>
    <t>Responsable</t>
  </si>
  <si>
    <t>INCOFER</t>
  </si>
  <si>
    <t xml:space="preserve">INCOFER </t>
  </si>
  <si>
    <t>CETAC</t>
  </si>
  <si>
    <t>AYA</t>
  </si>
  <si>
    <t xml:space="preserve">2024:95%
</t>
  </si>
  <si>
    <t>2024:6</t>
  </si>
  <si>
    <t>16) 003371 Construcción de obras Carretera San Carlos, Sección Bernardo Soto-Florencia</t>
  </si>
  <si>
    <t xml:space="preserve">2024: 12% (5% Diseños)
</t>
  </si>
  <si>
    <t xml:space="preserve">2023: 46,0%  Sector I: Construcción; 
</t>
  </si>
  <si>
    <t>I semestre 2024</t>
  </si>
  <si>
    <t>5) Plan Nacional de Adaptación al Cambio Climático</t>
  </si>
  <si>
    <r>
      <rPr>
        <b/>
        <sz val="12"/>
        <color theme="1"/>
        <rFont val="Calibri"/>
        <family val="2"/>
        <scheme val="minor"/>
      </rPr>
      <t>Notas: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>Seguimiento trimestral y semestral: las instituciones deben determinar el grado de avance de las metas de intervenciones públicas (autoclasificación) considerando los siguientes criterios de semaforización. (Lineamiento Metodológico - Insumos para elaborar el seguimiento del Plan Nacional de Desarrollo y de Inversión Pública (PNDIP) 2023-2026).
Metas actualizadas según modificación No. MIDEPLAN-DM-OF-0714-2024 6 de junio del 2024.</t>
    </r>
  </si>
  <si>
    <t>Atraso Critico</t>
  </si>
  <si>
    <t>De acuerdo con lo programado</t>
  </si>
  <si>
    <t>Riesgo de incumplimiento</t>
  </si>
  <si>
    <t>Autoclasificación *</t>
  </si>
  <si>
    <t>SEGUIMIENTO SEMESTRAL PNDIP  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</si>
</sst>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b/>
      <sz val="16"/>
      <color theme="1"/>
      <name val="HendersonSansW00-BasicBold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FFFF"/>
      </left>
      <right/>
      <top style="thick">
        <color rgb="FFFFFFFF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/>
    </xf>
    <xf numFmtId="0" fontId="4" fillId="0" borderId="3" xfId="0" applyFont="1" applyBorder="1" applyAlignment="1">
      <alignment vertical="top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6" fillId="5" borderId="0" xfId="0" applyFont="1" applyFill="1"/>
    <xf numFmtId="0" fontId="6" fillId="3" borderId="0" xfId="0" applyFont="1" applyFill="1"/>
    <xf numFmtId="0" fontId="6" fillId="4" borderId="0" xfId="0" applyFont="1" applyFill="1"/>
    <xf numFmtId="10" fontId="9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1" fillId="6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49" fontId="11" fillId="6" borderId="4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10" fontId="9" fillId="0" borderId="3" xfId="0" applyNumberFormat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9" fontId="9" fillId="0" borderId="2" xfId="0" applyNumberFormat="1" applyFont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top" wrapText="1"/>
    </xf>
    <xf numFmtId="9" fontId="9" fillId="0" borderId="3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2" fillId="0" borderId="0" xfId="0" applyFont="1" applyAlignment="1">
      <alignment horizontal="left" vertical="top" readingOrder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1EC13"/>
      <color rgb="FFE4C2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3</xdr:row>
      <xdr:rowOff>0</xdr:rowOff>
    </xdr:from>
    <xdr:to>
      <xdr:col>0</xdr:col>
      <xdr:colOff>336187</xdr:colOff>
      <xdr:row>6</xdr:row>
      <xdr:rowOff>163036</xdr:rowOff>
    </xdr:to>
    <xdr:sp macro="" textlink="">
      <xdr:nvSpPr>
        <xdr:cNvPr id="8" name="AutoShape 3" descr="https://mail.google.com/mail/u/2?ui=2&amp;ik=75a2aa31e9&amp;attid=0.1&amp;permmsgid=msg-f:1674380461821240028&amp;th=173c9828a5b5a2dc&amp;view=fimg&amp;sz=s0-l75-ft&amp;attbid=ANGjdJ8M-N953wTiKPUOb_4chVuPjSUGI1fh94ut0-mbb9g5MQvcd5X4OiDwX1bEWuwMVCvExxgdCA1YRRBgFOoLs04Z2unRelTKgN692LFgncTuqhxrz4smDUU-iG8&amp;disp=emb&amp;realattid=173c938ad32df767f2e1">
          <a:extLst>
            <a:ext uri="{FF2B5EF4-FFF2-40B4-BE49-F238E27FC236}">
              <a16:creationId xmlns:a16="http://schemas.microsoft.com/office/drawing/2014/main" id="{427961F7-B91E-40F0-9C4D-CD4E5AD1914F}"/>
            </a:ext>
          </a:extLst>
        </xdr:cNvPr>
        <xdr:cNvSpPr>
          <a:spLocks noChangeAspect="1" noChangeArrowheads="1"/>
        </xdr:cNvSpPr>
      </xdr:nvSpPr>
      <xdr:spPr bwMode="auto">
        <a:xfrm>
          <a:off x="32657" y="5780314"/>
          <a:ext cx="304800" cy="6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180975</xdr:colOff>
      <xdr:row>3</xdr:row>
      <xdr:rowOff>0</xdr:rowOff>
    </xdr:from>
    <xdr:to>
      <xdr:col>0</xdr:col>
      <xdr:colOff>479107</xdr:colOff>
      <xdr:row>6</xdr:row>
      <xdr:rowOff>154581</xdr:rowOff>
    </xdr:to>
    <xdr:sp macro="" textlink="">
      <xdr:nvSpPr>
        <xdr:cNvPr id="9" name="AutoShape 8" descr="https://mail.google.com/mail/u/2?ui=2&amp;ik=75a2aa31e9&amp;attid=0.1&amp;permmsgid=msg-f:1674380461821240028&amp;th=173c9828a5b5a2dc&amp;view=fimg&amp;sz=s0-l75-ft&amp;attbid=ANGjdJ8M-N953wTiKPUOb_4chVuPjSUGI1fh94ut0-mbb9g5MQvcd5X4OiDwX1bEWuwMVCvExxgdCA1YRRBgFOoLs04Z2unRelTKgN692LFgncTuqhxrz4smDUU-iG8&amp;disp=emb&amp;realattid=173c938ad32df767f2e1">
          <a:extLst>
            <a:ext uri="{FF2B5EF4-FFF2-40B4-BE49-F238E27FC236}">
              <a16:creationId xmlns:a16="http://schemas.microsoft.com/office/drawing/2014/main" id="{0BD2D8EA-4147-424B-9A55-D7815A5C4219}"/>
            </a:ext>
          </a:extLst>
        </xdr:cNvPr>
        <xdr:cNvSpPr>
          <a:spLocks noChangeAspect="1" noChangeArrowheads="1"/>
        </xdr:cNvSpPr>
      </xdr:nvSpPr>
      <xdr:spPr bwMode="auto">
        <a:xfrm>
          <a:off x="177800" y="4673600"/>
          <a:ext cx="300672" cy="289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49"/>
  <sheetViews>
    <sheetView tabSelected="1" zoomScale="90" zoomScaleNormal="90" workbookViewId="0">
      <pane ySplit="7" topLeftCell="A8" activePane="bottomLeft" state="frozen"/>
      <selection activeCell="B1" sqref="B1"/>
      <selection pane="bottomLeft" activeCell="A3" sqref="A3:I3"/>
    </sheetView>
  </sheetViews>
  <sheetFormatPr baseColWidth="10" defaultColWidth="11.54296875" defaultRowHeight="14.5" x14ac:dyDescent="0.35"/>
  <cols>
    <col min="1" max="1" width="47.54296875" customWidth="1"/>
    <col min="2" max="2" width="30.1796875" customWidth="1"/>
    <col min="3" max="3" width="19.36328125" customWidth="1"/>
    <col min="4" max="6" width="21.81640625" customWidth="1"/>
    <col min="7" max="7" width="34" customWidth="1"/>
    <col min="8" max="8" width="29.36328125" customWidth="1"/>
    <col min="9" max="9" width="31" customWidth="1"/>
    <col min="10" max="10" width="25.6328125" customWidth="1"/>
  </cols>
  <sheetData>
    <row r="2" spans="1:10" ht="21" x14ac:dyDescent="0.5">
      <c r="A2" s="44" t="s">
        <v>124</v>
      </c>
      <c r="B2" s="44"/>
      <c r="C2" s="44"/>
      <c r="D2" s="44"/>
      <c r="E2" s="44"/>
      <c r="F2" s="44"/>
      <c r="G2" s="44"/>
      <c r="H2" s="44"/>
      <c r="I2" s="44"/>
    </row>
    <row r="3" spans="1:10" ht="21" x14ac:dyDescent="0.5">
      <c r="A3" s="44" t="s">
        <v>0</v>
      </c>
      <c r="B3" s="44"/>
      <c r="C3" s="44"/>
      <c r="D3" s="44"/>
      <c r="E3" s="44"/>
      <c r="F3" s="44"/>
      <c r="G3" s="44"/>
      <c r="H3" s="44"/>
      <c r="I3" s="44"/>
    </row>
    <row r="4" spans="1:10" ht="21" x14ac:dyDescent="0.5">
      <c r="A4" s="44" t="s">
        <v>117</v>
      </c>
      <c r="B4" s="44"/>
      <c r="C4" s="44"/>
      <c r="D4" s="44"/>
      <c r="E4" s="44"/>
      <c r="F4" s="44"/>
      <c r="G4" s="44"/>
      <c r="H4" s="44"/>
      <c r="I4" s="44"/>
    </row>
    <row r="5" spans="1:10" ht="23" hidden="1" x14ac:dyDescent="0.7">
      <c r="A5" s="17" t="s">
        <v>2</v>
      </c>
      <c r="B5" s="16"/>
      <c r="C5" s="16"/>
      <c r="D5" s="16"/>
      <c r="E5" s="16"/>
      <c r="F5" s="16"/>
      <c r="G5" s="16"/>
      <c r="H5" s="16"/>
      <c r="I5" s="16"/>
    </row>
    <row r="6" spans="1:10" ht="15" thickBot="1" x14ac:dyDescent="0.4"/>
    <row r="7" spans="1:10" s="1" customFormat="1" ht="92.15" customHeight="1" thickTop="1" x14ac:dyDescent="0.35">
      <c r="A7" s="9" t="s">
        <v>3</v>
      </c>
      <c r="B7" s="9" t="s">
        <v>4</v>
      </c>
      <c r="C7" s="9" t="s">
        <v>5</v>
      </c>
      <c r="D7" s="9" t="s">
        <v>6</v>
      </c>
      <c r="E7" s="10" t="s">
        <v>1</v>
      </c>
      <c r="F7" s="10" t="s">
        <v>117</v>
      </c>
      <c r="G7" s="18" t="s">
        <v>7</v>
      </c>
      <c r="H7" s="10" t="s">
        <v>8</v>
      </c>
      <c r="I7" s="10" t="s">
        <v>123</v>
      </c>
      <c r="J7" s="10" t="s">
        <v>107</v>
      </c>
    </row>
    <row r="8" spans="1:10" ht="106.4" customHeight="1" x14ac:dyDescent="0.35">
      <c r="A8" s="2" t="s">
        <v>9</v>
      </c>
      <c r="B8" s="3" t="s">
        <v>10</v>
      </c>
      <c r="C8" s="3" t="s">
        <v>11</v>
      </c>
      <c r="D8" s="3" t="s">
        <v>112</v>
      </c>
      <c r="E8" s="15">
        <v>0.88100000000000001</v>
      </c>
      <c r="F8" s="15">
        <v>0.88600000000000001</v>
      </c>
      <c r="G8" s="15">
        <f>(88.6%/95)*100</f>
        <v>0.93263157894736826</v>
      </c>
      <c r="H8" s="38">
        <f>((88.6-50.97)/(95-50.97))*100</f>
        <v>85.464456052691332</v>
      </c>
      <c r="I8" s="25" t="s">
        <v>121</v>
      </c>
      <c r="J8" s="29" t="s">
        <v>103</v>
      </c>
    </row>
    <row r="9" spans="1:10" ht="99" customHeight="1" x14ac:dyDescent="0.35">
      <c r="A9" s="2" t="s">
        <v>12</v>
      </c>
      <c r="B9" s="3" t="s">
        <v>13</v>
      </c>
      <c r="C9" s="3" t="s">
        <v>14</v>
      </c>
      <c r="D9" s="3" t="s">
        <v>15</v>
      </c>
      <c r="E9" s="15">
        <v>0.17960000000000001</v>
      </c>
      <c r="F9" s="15">
        <v>0.17960000000000001</v>
      </c>
      <c r="G9" s="15">
        <f>17.96/43.53</f>
        <v>0.41258901906730994</v>
      </c>
      <c r="H9" s="38">
        <f>((17.96-12.88)/(43.53-12.88))*100</f>
        <v>16.574225122349105</v>
      </c>
      <c r="I9" s="22" t="s">
        <v>120</v>
      </c>
      <c r="J9" s="29" t="s">
        <v>103</v>
      </c>
    </row>
    <row r="10" spans="1:10" ht="112.4" customHeight="1" x14ac:dyDescent="0.35">
      <c r="A10" s="2" t="s">
        <v>16</v>
      </c>
      <c r="B10" s="3" t="s">
        <v>13</v>
      </c>
      <c r="C10" s="3" t="s">
        <v>17</v>
      </c>
      <c r="D10" s="3" t="s">
        <v>18</v>
      </c>
      <c r="E10" s="15">
        <v>0.95</v>
      </c>
      <c r="F10" s="15">
        <v>0.81</v>
      </c>
      <c r="G10" s="15">
        <f>95/100</f>
        <v>0.95</v>
      </c>
      <c r="H10" s="38">
        <f>((81-7)/(100-7))*100</f>
        <v>79.569892473118273</v>
      </c>
      <c r="I10" s="25" t="s">
        <v>121</v>
      </c>
      <c r="J10" s="29" t="s">
        <v>103</v>
      </c>
    </row>
    <row r="11" spans="1:10" ht="113.15" customHeight="1" x14ac:dyDescent="0.35">
      <c r="A11" s="2" t="s">
        <v>19</v>
      </c>
      <c r="B11" s="2" t="s">
        <v>20</v>
      </c>
      <c r="C11" s="35" t="s">
        <v>21</v>
      </c>
      <c r="D11" s="36" t="s">
        <v>113</v>
      </c>
      <c r="E11" s="21">
        <v>2</v>
      </c>
      <c r="F11" s="21">
        <v>4</v>
      </c>
      <c r="G11" s="15">
        <f>(2/4)</f>
        <v>0.5</v>
      </c>
      <c r="H11" s="38">
        <f>(4/6)*100</f>
        <v>66.666666666666657</v>
      </c>
      <c r="I11" s="24" t="s">
        <v>122</v>
      </c>
      <c r="J11" s="29" t="s">
        <v>103</v>
      </c>
    </row>
    <row r="12" spans="1:10" ht="116.5" customHeight="1" x14ac:dyDescent="0.35">
      <c r="A12" s="2" t="s">
        <v>22</v>
      </c>
      <c r="B12" s="2" t="s">
        <v>23</v>
      </c>
      <c r="C12" s="3" t="s">
        <v>24</v>
      </c>
      <c r="D12" s="3" t="s">
        <v>25</v>
      </c>
      <c r="E12" s="26">
        <v>0</v>
      </c>
      <c r="F12" s="28">
        <v>0</v>
      </c>
      <c r="G12" s="23">
        <v>0</v>
      </c>
      <c r="H12" s="39">
        <f>(0/25)*100</f>
        <v>0</v>
      </c>
      <c r="I12" s="22" t="s">
        <v>120</v>
      </c>
      <c r="J12" s="29" t="s">
        <v>104</v>
      </c>
    </row>
    <row r="13" spans="1:10" ht="141.65" customHeight="1" x14ac:dyDescent="0.35">
      <c r="A13" s="2" t="s">
        <v>26</v>
      </c>
      <c r="B13" s="2" t="s">
        <v>27</v>
      </c>
      <c r="C13" s="3" t="s">
        <v>28</v>
      </c>
      <c r="D13" s="3" t="s">
        <v>29</v>
      </c>
      <c r="E13" s="26">
        <v>0</v>
      </c>
      <c r="F13" s="28">
        <v>0</v>
      </c>
      <c r="G13" s="23">
        <v>0</v>
      </c>
      <c r="H13" s="39">
        <f>(0/25)*100</f>
        <v>0</v>
      </c>
      <c r="I13" s="22" t="s">
        <v>120</v>
      </c>
      <c r="J13" s="29" t="s">
        <v>105</v>
      </c>
    </row>
    <row r="14" spans="1:10" ht="85" x14ac:dyDescent="0.35">
      <c r="A14" s="2" t="s">
        <v>30</v>
      </c>
      <c r="B14" s="4" t="s">
        <v>31</v>
      </c>
      <c r="C14" s="3" t="s">
        <v>32</v>
      </c>
      <c r="D14" s="3" t="s">
        <v>33</v>
      </c>
      <c r="E14" s="26">
        <v>7.0000000000000007E-2</v>
      </c>
      <c r="F14" s="28">
        <v>7.0000000000000007E-2</v>
      </c>
      <c r="G14" s="23">
        <f>7/12</f>
        <v>0.58333333333333337</v>
      </c>
      <c r="H14" s="39">
        <f>(7/12)*100</f>
        <v>58.333333333333336</v>
      </c>
      <c r="I14" s="22" t="s">
        <v>120</v>
      </c>
      <c r="J14" s="29" t="s">
        <v>105</v>
      </c>
    </row>
    <row r="15" spans="1:10" ht="129.65" customHeight="1" x14ac:dyDescent="0.35">
      <c r="A15" s="2" t="s">
        <v>34</v>
      </c>
      <c r="B15" s="4" t="s">
        <v>35</v>
      </c>
      <c r="C15" s="3" t="s">
        <v>36</v>
      </c>
      <c r="D15" s="3" t="s">
        <v>37</v>
      </c>
      <c r="E15" s="23">
        <v>0.27700000000000002</v>
      </c>
      <c r="F15" s="23">
        <v>0.31619999999999998</v>
      </c>
      <c r="G15" s="23">
        <f>31.62/96.25</f>
        <v>0.32851948051948054</v>
      </c>
      <c r="H15" s="39">
        <f>(31.62-12)/(96.25-12)*100</f>
        <v>23.287833827893177</v>
      </c>
      <c r="I15" s="22" t="s">
        <v>120</v>
      </c>
      <c r="J15" s="29" t="s">
        <v>106</v>
      </c>
    </row>
    <row r="16" spans="1:10" ht="122.5" customHeight="1" x14ac:dyDescent="0.35">
      <c r="A16" s="2" t="s">
        <v>38</v>
      </c>
      <c r="B16" s="4" t="s">
        <v>39</v>
      </c>
      <c r="C16" s="3" t="s">
        <v>40</v>
      </c>
      <c r="D16" s="3" t="s">
        <v>41</v>
      </c>
      <c r="E16" s="15">
        <v>5.8799999999999998E-2</v>
      </c>
      <c r="F16" s="23">
        <v>5.8799999999999998E-2</v>
      </c>
      <c r="G16" s="23">
        <f>5.88/22</f>
        <v>0.26727272727272727</v>
      </c>
      <c r="H16" s="38">
        <f>((5.88-7)/(22-7)*100)*0</f>
        <v>0</v>
      </c>
      <c r="I16" s="22" t="s">
        <v>120</v>
      </c>
      <c r="J16" s="29" t="s">
        <v>108</v>
      </c>
    </row>
    <row r="17" spans="1:10" ht="102" customHeight="1" x14ac:dyDescent="0.35">
      <c r="A17" s="5" t="s">
        <v>42</v>
      </c>
      <c r="B17" s="4" t="s">
        <v>43</v>
      </c>
      <c r="C17" s="3" t="s">
        <v>44</v>
      </c>
      <c r="D17" s="3" t="s">
        <v>45</v>
      </c>
      <c r="E17" s="26">
        <v>0</v>
      </c>
      <c r="F17" s="26">
        <v>0</v>
      </c>
      <c r="G17" s="15">
        <f>0/7</f>
        <v>0</v>
      </c>
      <c r="H17" s="39">
        <f>0/7*100</f>
        <v>0</v>
      </c>
      <c r="I17" s="22" t="s">
        <v>120</v>
      </c>
      <c r="J17" s="29" t="s">
        <v>109</v>
      </c>
    </row>
    <row r="18" spans="1:10" ht="158.15" customHeight="1" x14ac:dyDescent="0.35">
      <c r="A18" s="2" t="s">
        <v>46</v>
      </c>
      <c r="B18" s="4" t="s">
        <v>43</v>
      </c>
      <c r="C18" s="3" t="s">
        <v>47</v>
      </c>
      <c r="D18" s="3" t="s">
        <v>48</v>
      </c>
      <c r="E18" s="15">
        <v>6.6000000000000003E-2</v>
      </c>
      <c r="F18" s="15">
        <v>6.6000000000000003E-2</v>
      </c>
      <c r="G18" s="15">
        <f>6.6/44</f>
        <v>0.15</v>
      </c>
      <c r="H18" s="38">
        <f>((6.6-3)/(44-3)*100)</f>
        <v>8.7804878048780477</v>
      </c>
      <c r="I18" s="22" t="s">
        <v>120</v>
      </c>
      <c r="J18" s="29" t="s">
        <v>109</v>
      </c>
    </row>
    <row r="19" spans="1:10" ht="135.65" customHeight="1" x14ac:dyDescent="0.35">
      <c r="A19" s="2" t="s">
        <v>114</v>
      </c>
      <c r="B19" s="4" t="s">
        <v>49</v>
      </c>
      <c r="C19" s="3" t="s">
        <v>50</v>
      </c>
      <c r="D19" s="3" t="s">
        <v>51</v>
      </c>
      <c r="E19" s="15">
        <v>9.9299999999999999E-2</v>
      </c>
      <c r="F19" s="15">
        <v>0.46029999999999999</v>
      </c>
      <c r="G19" s="15">
        <f>46.03/43</f>
        <v>1.0704651162790697</v>
      </c>
      <c r="H19" s="38">
        <f>((46.03-1)/(43-1))*100</f>
        <v>107.21428571428571</v>
      </c>
      <c r="I19" s="25" t="s">
        <v>121</v>
      </c>
      <c r="J19" s="29" t="s">
        <v>104</v>
      </c>
    </row>
    <row r="20" spans="1:10" ht="108.75" customHeight="1" x14ac:dyDescent="0.35">
      <c r="A20" s="2" t="s">
        <v>52</v>
      </c>
      <c r="B20" s="4" t="s">
        <v>53</v>
      </c>
      <c r="C20" s="3" t="s">
        <v>54</v>
      </c>
      <c r="D20" s="3" t="s">
        <v>55</v>
      </c>
      <c r="E20" s="15">
        <v>0.50870000000000004</v>
      </c>
      <c r="F20" s="15">
        <v>0.54400000000000004</v>
      </c>
      <c r="G20" s="15">
        <f>54.4/100</f>
        <v>0.54400000000000004</v>
      </c>
      <c r="H20" s="38">
        <f>((54.4-9.15)/(100-9.15))*100</f>
        <v>49.807374793615857</v>
      </c>
      <c r="I20" s="22" t="s">
        <v>120</v>
      </c>
      <c r="J20" s="29" t="s">
        <v>104</v>
      </c>
    </row>
    <row r="21" spans="1:10" ht="120" customHeight="1" x14ac:dyDescent="0.35">
      <c r="A21" s="2" t="s">
        <v>56</v>
      </c>
      <c r="B21" s="4" t="s">
        <v>57</v>
      </c>
      <c r="C21" s="3" t="s">
        <v>58</v>
      </c>
      <c r="D21" s="3" t="s">
        <v>59</v>
      </c>
      <c r="E21" s="15">
        <v>0.65280000000000005</v>
      </c>
      <c r="F21" s="15">
        <v>0.6542</v>
      </c>
      <c r="G21" s="15">
        <f>65.42/100</f>
        <v>0.6542</v>
      </c>
      <c r="H21" s="38">
        <f>((65.42-44.37)/(100-44.37))*100</f>
        <v>37.839295344238728</v>
      </c>
      <c r="I21" s="22" t="s">
        <v>120</v>
      </c>
      <c r="J21" s="29" t="s">
        <v>104</v>
      </c>
    </row>
    <row r="22" spans="1:10" ht="135" customHeight="1" x14ac:dyDescent="0.35">
      <c r="A22" s="2" t="s">
        <v>60</v>
      </c>
      <c r="B22" s="4" t="s">
        <v>61</v>
      </c>
      <c r="C22" s="3" t="s">
        <v>62</v>
      </c>
      <c r="D22" s="3" t="s">
        <v>63</v>
      </c>
      <c r="E22" s="21">
        <v>281.95</v>
      </c>
      <c r="F22" s="21">
        <v>281.95</v>
      </c>
      <c r="G22" s="15">
        <f>281.95/402.19</f>
        <v>0.70103682339192919</v>
      </c>
      <c r="H22" s="38">
        <f>((281.95-143.8)/(402.19-143.8))*100</f>
        <v>53.46569139672588</v>
      </c>
      <c r="I22" s="22" t="s">
        <v>120</v>
      </c>
      <c r="J22" s="29" t="s">
        <v>104</v>
      </c>
    </row>
    <row r="23" spans="1:10" ht="131.5" customHeight="1" x14ac:dyDescent="0.35">
      <c r="A23" s="2" t="s">
        <v>64</v>
      </c>
      <c r="B23" s="4" t="s">
        <v>65</v>
      </c>
      <c r="C23" s="35" t="s">
        <v>66</v>
      </c>
      <c r="D23" s="3" t="s">
        <v>67</v>
      </c>
      <c r="E23" s="27">
        <v>7</v>
      </c>
      <c r="F23" s="27">
        <v>7</v>
      </c>
      <c r="G23" s="15">
        <f>7/30</f>
        <v>0.23333333333333334</v>
      </c>
      <c r="H23" s="38">
        <f>(7/30)*100</f>
        <v>23.333333333333332</v>
      </c>
      <c r="I23" s="22" t="s">
        <v>120</v>
      </c>
      <c r="J23" s="29" t="s">
        <v>104</v>
      </c>
    </row>
    <row r="24" spans="1:10" ht="103.4" customHeight="1" x14ac:dyDescent="0.35">
      <c r="A24" s="2" t="s">
        <v>68</v>
      </c>
      <c r="B24" s="4" t="s">
        <v>69</v>
      </c>
      <c r="C24" s="3" t="s">
        <v>70</v>
      </c>
      <c r="D24" s="3" t="s">
        <v>71</v>
      </c>
      <c r="E24" s="15">
        <v>0.21379999999999999</v>
      </c>
      <c r="F24" s="15">
        <v>0.21379999999999999</v>
      </c>
      <c r="G24" s="15">
        <f>21.38/70</f>
        <v>0.30542857142857144</v>
      </c>
      <c r="H24" s="38">
        <f>((21.38-12)/(70-12))*100</f>
        <v>16.172413793103445</v>
      </c>
      <c r="I24" s="24" t="s">
        <v>122</v>
      </c>
      <c r="J24" s="29" t="s">
        <v>110</v>
      </c>
    </row>
    <row r="25" spans="1:10" ht="107.5" customHeight="1" x14ac:dyDescent="0.35">
      <c r="A25" s="2" t="s">
        <v>72</v>
      </c>
      <c r="B25" s="4" t="s">
        <v>69</v>
      </c>
      <c r="C25" s="3" t="s">
        <v>73</v>
      </c>
      <c r="D25" s="3" t="s">
        <v>74</v>
      </c>
      <c r="E25" s="15">
        <v>0</v>
      </c>
      <c r="F25" s="15">
        <v>0</v>
      </c>
      <c r="G25" s="15">
        <f>0/7</f>
        <v>0</v>
      </c>
      <c r="H25" s="38">
        <f>(0/3)*100</f>
        <v>0</v>
      </c>
      <c r="I25" s="22" t="s">
        <v>120</v>
      </c>
      <c r="J25" s="29" t="s">
        <v>110</v>
      </c>
    </row>
    <row r="26" spans="1:10" ht="104.15" customHeight="1" x14ac:dyDescent="0.35">
      <c r="A26" s="2" t="s">
        <v>75</v>
      </c>
      <c r="B26" s="4" t="s">
        <v>69</v>
      </c>
      <c r="C26" s="3" t="s">
        <v>76</v>
      </c>
      <c r="D26" s="3" t="s">
        <v>77</v>
      </c>
      <c r="E26" s="15">
        <v>0</v>
      </c>
      <c r="F26" s="15">
        <v>0</v>
      </c>
      <c r="G26" s="15">
        <f>0/7</f>
        <v>0</v>
      </c>
      <c r="H26" s="38">
        <f>(0/3)*100</f>
        <v>0</v>
      </c>
      <c r="I26" s="22" t="s">
        <v>120</v>
      </c>
      <c r="J26" s="29" t="s">
        <v>110</v>
      </c>
    </row>
    <row r="27" spans="1:10" ht="86.5" customHeight="1" x14ac:dyDescent="0.35">
      <c r="A27" s="2" t="s">
        <v>78</v>
      </c>
      <c r="B27" s="4" t="s">
        <v>79</v>
      </c>
      <c r="C27" s="3" t="s">
        <v>80</v>
      </c>
      <c r="D27" s="3" t="s">
        <v>115</v>
      </c>
      <c r="E27" s="15">
        <v>0</v>
      </c>
      <c r="F27" s="15">
        <v>0.08</v>
      </c>
      <c r="G27" s="15">
        <f>8/12</f>
        <v>0.66666666666666663</v>
      </c>
      <c r="H27" s="38">
        <f>(8/12)*100</f>
        <v>66.666666666666657</v>
      </c>
      <c r="I27" s="25" t="s">
        <v>121</v>
      </c>
      <c r="J27" s="29" t="s">
        <v>110</v>
      </c>
    </row>
    <row r="28" spans="1:10" ht="108" customHeight="1" x14ac:dyDescent="0.35">
      <c r="A28" s="2" t="s">
        <v>81</v>
      </c>
      <c r="B28" s="4" t="s">
        <v>69</v>
      </c>
      <c r="C28" s="37" t="s">
        <v>76</v>
      </c>
      <c r="D28" s="3" t="s">
        <v>77</v>
      </c>
      <c r="E28" s="15">
        <v>0</v>
      </c>
      <c r="F28" s="15">
        <v>0</v>
      </c>
      <c r="G28" s="15">
        <f>0/7</f>
        <v>0</v>
      </c>
      <c r="H28" s="38">
        <f>(0/7)*100</f>
        <v>0</v>
      </c>
      <c r="I28" s="22" t="s">
        <v>120</v>
      </c>
      <c r="J28" s="29" t="s">
        <v>110</v>
      </c>
    </row>
    <row r="29" spans="1:10" ht="108" customHeight="1" x14ac:dyDescent="0.35">
      <c r="A29" s="6" t="s">
        <v>82</v>
      </c>
      <c r="B29" s="6" t="s">
        <v>83</v>
      </c>
      <c r="C29" s="31">
        <v>0</v>
      </c>
      <c r="D29" s="32" t="s">
        <v>84</v>
      </c>
      <c r="E29" s="28">
        <v>0</v>
      </c>
      <c r="F29" s="28">
        <v>0</v>
      </c>
      <c r="G29" s="23">
        <f>0/3.5</f>
        <v>0</v>
      </c>
      <c r="H29" s="38">
        <f>(0/3.5)*100</f>
        <v>0</v>
      </c>
      <c r="I29" s="22" t="s">
        <v>120</v>
      </c>
      <c r="J29" s="29" t="s">
        <v>111</v>
      </c>
    </row>
    <row r="30" spans="1:10" ht="108" customHeight="1" x14ac:dyDescent="0.35">
      <c r="A30" s="6" t="s">
        <v>82</v>
      </c>
      <c r="B30" s="19" t="s">
        <v>85</v>
      </c>
      <c r="C30" s="31">
        <v>0</v>
      </c>
      <c r="D30" s="32" t="s">
        <v>84</v>
      </c>
      <c r="E30" s="28">
        <v>0</v>
      </c>
      <c r="F30" s="28">
        <v>0</v>
      </c>
      <c r="G30" s="23">
        <f>0/3.5</f>
        <v>0</v>
      </c>
      <c r="H30" s="38">
        <f>(0/3.5)*100</f>
        <v>0</v>
      </c>
      <c r="I30" s="22" t="s">
        <v>120</v>
      </c>
      <c r="J30" s="29" t="s">
        <v>111</v>
      </c>
    </row>
    <row r="31" spans="1:10" ht="108" customHeight="1" x14ac:dyDescent="0.35">
      <c r="A31" s="6" t="s">
        <v>82</v>
      </c>
      <c r="B31" s="19" t="s">
        <v>86</v>
      </c>
      <c r="C31" s="31">
        <v>0</v>
      </c>
      <c r="D31" s="32" t="s">
        <v>84</v>
      </c>
      <c r="E31" s="28">
        <v>0</v>
      </c>
      <c r="F31" s="28">
        <v>0</v>
      </c>
      <c r="G31" s="23">
        <f>0/3.5</f>
        <v>0</v>
      </c>
      <c r="H31" s="38">
        <f>(0/3.5)*100</f>
        <v>0</v>
      </c>
      <c r="I31" s="22" t="s">
        <v>120</v>
      </c>
      <c r="J31" s="29" t="s">
        <v>111</v>
      </c>
    </row>
    <row r="32" spans="1:10" ht="150" customHeight="1" x14ac:dyDescent="0.35">
      <c r="A32" s="6" t="s">
        <v>82</v>
      </c>
      <c r="B32" s="6" t="s">
        <v>87</v>
      </c>
      <c r="C32" s="33" t="s">
        <v>88</v>
      </c>
      <c r="D32" s="32" t="s">
        <v>116</v>
      </c>
      <c r="E32" s="23">
        <v>0.1691</v>
      </c>
      <c r="F32" s="23">
        <v>0.1691</v>
      </c>
      <c r="G32" s="23">
        <f>16.91/46</f>
        <v>0.36760869565217391</v>
      </c>
      <c r="H32" s="39">
        <f>((16.91-14.97)/(46-14.97))*100</f>
        <v>6.2520141798259727</v>
      </c>
      <c r="I32" s="22" t="s">
        <v>120</v>
      </c>
      <c r="J32" s="29" t="s">
        <v>111</v>
      </c>
    </row>
    <row r="33" spans="1:10" ht="126" customHeight="1" x14ac:dyDescent="0.35">
      <c r="A33" s="8" t="s">
        <v>118</v>
      </c>
      <c r="B33" s="7" t="s">
        <v>89</v>
      </c>
      <c r="C33" s="34" t="s">
        <v>90</v>
      </c>
      <c r="D33" s="34" t="s">
        <v>91</v>
      </c>
      <c r="E33" s="15">
        <v>0.37659999999999999</v>
      </c>
      <c r="F33" s="15">
        <v>0.4133</v>
      </c>
      <c r="G33" s="15">
        <f>41.33/80</f>
        <v>0.516625</v>
      </c>
      <c r="H33" s="38">
        <f>((41.33-27.8)/(80-27.8))*100</f>
        <v>25.919540229885051</v>
      </c>
      <c r="I33" s="22" t="s">
        <v>120</v>
      </c>
      <c r="J33" s="30" t="s">
        <v>111</v>
      </c>
    </row>
    <row r="35" spans="1:10" ht="72.650000000000006" customHeight="1" x14ac:dyDescent="0.35">
      <c r="A35" s="45" t="s">
        <v>119</v>
      </c>
      <c r="B35" s="45"/>
      <c r="C35" s="45"/>
      <c r="D35" s="45"/>
      <c r="E35" s="45"/>
      <c r="F35" s="45"/>
      <c r="G35" s="45"/>
      <c r="H35" s="45"/>
      <c r="I35" s="45"/>
    </row>
    <row r="36" spans="1:10" ht="15.5" x14ac:dyDescent="0.35">
      <c r="A36" s="12" t="s">
        <v>101</v>
      </c>
      <c r="B36" s="41" t="s">
        <v>96</v>
      </c>
      <c r="C36" s="41"/>
      <c r="D36" s="41"/>
      <c r="E36" s="41"/>
      <c r="F36" s="41"/>
      <c r="G36" s="41"/>
      <c r="H36" s="41"/>
      <c r="I36" s="41"/>
    </row>
    <row r="37" spans="1:10" ht="15.5" x14ac:dyDescent="0.35">
      <c r="A37" s="11"/>
      <c r="B37" s="11"/>
      <c r="C37" s="11"/>
      <c r="D37" s="11"/>
      <c r="E37" s="11"/>
      <c r="F37" s="11"/>
      <c r="G37" s="11"/>
      <c r="H37" s="11"/>
      <c r="I37" s="11"/>
    </row>
    <row r="38" spans="1:10" ht="15.5" x14ac:dyDescent="0.35">
      <c r="A38" s="13" t="s">
        <v>97</v>
      </c>
      <c r="B38" s="41" t="s">
        <v>98</v>
      </c>
      <c r="C38" s="41"/>
      <c r="D38" s="41"/>
      <c r="E38" s="41"/>
      <c r="F38" s="41"/>
      <c r="G38" s="41"/>
      <c r="H38" s="41"/>
      <c r="I38" s="41"/>
    </row>
    <row r="39" spans="1:10" ht="15.5" x14ac:dyDescent="0.35">
      <c r="A39" s="11"/>
      <c r="B39" s="11"/>
      <c r="C39" s="11"/>
      <c r="D39" s="11"/>
      <c r="E39" s="11"/>
      <c r="F39" s="11"/>
      <c r="G39" s="11"/>
      <c r="H39" s="11"/>
      <c r="I39" s="11"/>
    </row>
    <row r="40" spans="1:10" ht="15.5" x14ac:dyDescent="0.35">
      <c r="A40" s="14" t="s">
        <v>99</v>
      </c>
      <c r="B40" s="42" t="s">
        <v>100</v>
      </c>
      <c r="C40" s="42"/>
      <c r="D40" s="42"/>
      <c r="E40" s="42"/>
      <c r="F40" s="42"/>
      <c r="G40" s="42"/>
      <c r="H40" s="42"/>
      <c r="I40" s="42"/>
    </row>
    <row r="41" spans="1:10" ht="15.5" x14ac:dyDescent="0.35">
      <c r="A41" s="43"/>
      <c r="B41" s="43"/>
      <c r="C41" s="43"/>
      <c r="D41" s="43"/>
      <c r="E41" s="43"/>
      <c r="F41" s="43"/>
      <c r="G41" s="43"/>
      <c r="H41" s="43"/>
      <c r="I41" s="43"/>
    </row>
    <row r="44" spans="1:10" ht="18.5" x14ac:dyDescent="0.45">
      <c r="A44" s="40" t="s">
        <v>102</v>
      </c>
      <c r="B44" s="40"/>
      <c r="C44" s="40"/>
      <c r="D44" s="40"/>
      <c r="E44" s="40"/>
      <c r="F44" s="40"/>
      <c r="G44" s="40"/>
      <c r="H44" s="40"/>
    </row>
    <row r="45" spans="1:10" ht="15" thickBot="1" x14ac:dyDescent="0.4"/>
    <row r="46" spans="1:10" ht="56" thickTop="1" x14ac:dyDescent="0.35">
      <c r="A46" s="9" t="s">
        <v>3</v>
      </c>
      <c r="B46" s="9" t="s">
        <v>4</v>
      </c>
      <c r="C46" s="9" t="s">
        <v>5</v>
      </c>
      <c r="D46" s="9" t="s">
        <v>6</v>
      </c>
      <c r="E46" s="20" t="s">
        <v>1</v>
      </c>
      <c r="F46" s="10" t="s">
        <v>117</v>
      </c>
      <c r="G46" s="20" t="s">
        <v>7</v>
      </c>
      <c r="H46" s="20" t="s">
        <v>94</v>
      </c>
      <c r="I46" s="10" t="s">
        <v>107</v>
      </c>
    </row>
    <row r="49" spans="1:9" ht="101" customHeight="1" x14ac:dyDescent="0.35">
      <c r="A49" s="2" t="s">
        <v>92</v>
      </c>
      <c r="B49" s="2" t="s">
        <v>10</v>
      </c>
      <c r="C49" s="21" t="s">
        <v>95</v>
      </c>
      <c r="D49" s="3" t="s">
        <v>93</v>
      </c>
      <c r="E49" s="26">
        <v>0.75</v>
      </c>
      <c r="F49" s="26">
        <v>0.8</v>
      </c>
      <c r="G49" s="15">
        <v>0.8</v>
      </c>
      <c r="H49" s="25" t="s">
        <v>121</v>
      </c>
      <c r="I49" s="29" t="s">
        <v>103</v>
      </c>
    </row>
  </sheetData>
  <mergeCells count="9">
    <mergeCell ref="A44:H44"/>
    <mergeCell ref="B38:I38"/>
    <mergeCell ref="B40:I40"/>
    <mergeCell ref="A41:I41"/>
    <mergeCell ref="A2:I2"/>
    <mergeCell ref="A3:I3"/>
    <mergeCell ref="A4:I4"/>
    <mergeCell ref="A35:I35"/>
    <mergeCell ref="B36:I36"/>
  </mergeCells>
  <hyperlinks>
    <hyperlink ref="D7" location="_ftn1" display="_ftn1" xr:uid="{00000000-0004-0000-0100-000000000000}"/>
    <hyperlink ref="D46" location="_ftn1" display="_ftn1" xr:uid="{C28C981E-6074-4BB1-BF2E-A6F63CE9677D}"/>
  </hyperlinks>
  <pageMargins left="0.70866141732283472" right="0.70866141732283472" top="0.74803149606299213" bottom="0.74803149606299213" header="0.31496062992125984" footer="0.31496062992125984"/>
  <pageSetup scale="34" fitToHeight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Int. Púb. Sg.  I semestre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Cristina Monge Sibaja</dc:creator>
  <cp:keywords/>
  <dc:description/>
  <cp:lastModifiedBy>Laura Cristina Monge Sibaja</cp:lastModifiedBy>
  <cp:revision/>
  <dcterms:created xsi:type="dcterms:W3CDTF">2022-12-07T16:42:02Z</dcterms:created>
  <dcterms:modified xsi:type="dcterms:W3CDTF">2024-08-01T21:09:03Z</dcterms:modified>
  <cp:category/>
  <cp:contentStatus/>
</cp:coreProperties>
</file>