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ptgocr-my.sharepoint.com/personal/laura_monge_mopt_go_cr/Documents/PNDIP 2023 2026/SEGUIMIENTO ANUAL 2025/Presentacion  SGTO Anual 2025/Pagina Web/"/>
    </mc:Choice>
  </mc:AlternateContent>
  <xr:revisionPtr revIDLastSave="772" documentId="13_ncr:1_{F15A5F28-DAB7-4D6E-B068-922A92E6E05F}" xr6:coauthVersionLast="47" xr6:coauthVersionMax="47" xr10:uidLastSave="{D2BBF69F-ED6E-4706-9822-7AAFD2A26F84}"/>
  <bookViews>
    <workbookView xWindow="-110" yWindow="-110" windowWidth="19420" windowHeight="10300" xr2:uid="{00000000-000D-0000-FFFF-FFFF00000000}"/>
  </bookViews>
  <sheets>
    <sheet name="Metas  Segto Anual  2025" sheetId="2" r:id="rId1"/>
  </sheets>
  <definedNames>
    <definedName name="_xlnm._FilterDatabase" localSheetId="0" hidden="1">'Metas  Segto Anual  2025'!$A$16:$K$42</definedName>
    <definedName name="_xlnm.Print_Area" localSheetId="0">'Metas  Segto Anual  2025'!$A$16:$K$42</definedName>
    <definedName name="_xlnm.Print_Titles" localSheetId="0">'Metas  Segto Anual  2025'!$16:$16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2" l="1"/>
  <c r="I26" i="2" l="1"/>
  <c r="I19" i="2"/>
  <c r="H19" i="2"/>
  <c r="I25" i="2"/>
  <c r="H23" i="2"/>
  <c r="I23" i="2"/>
  <c r="I27" i="2" l="1"/>
  <c r="I18" i="2"/>
  <c r="H18" i="2"/>
  <c r="I17" i="2"/>
  <c r="H17" i="2"/>
  <c r="I22" i="2"/>
  <c r="I41" i="2"/>
  <c r="H41" i="2"/>
  <c r="H42" i="2"/>
  <c r="I30" i="2" l="1"/>
  <c r="H30" i="2"/>
  <c r="I36" i="2"/>
  <c r="H36" i="2"/>
  <c r="I37" i="2"/>
  <c r="H37" i="2"/>
  <c r="I29" i="2"/>
  <c r="H29" i="2"/>
  <c r="H25" i="2"/>
  <c r="H26" i="2"/>
  <c r="I34" i="2" l="1"/>
  <c r="H34" i="2"/>
  <c r="I31" i="2"/>
  <c r="H31" i="2"/>
  <c r="I24" i="2" l="1"/>
  <c r="H24" i="2"/>
  <c r="I21" i="2"/>
  <c r="H21" i="2"/>
  <c r="H39" i="2" l="1"/>
  <c r="I39" i="2"/>
  <c r="H40" i="2"/>
  <c r="I40" i="2"/>
  <c r="H22" i="2" l="1"/>
  <c r="I33" i="2" l="1"/>
  <c r="I28" i="2" l="1"/>
  <c r="H27" i="2"/>
  <c r="I20" i="2" l="1"/>
  <c r="H38" i="2" l="1"/>
  <c r="H35" i="2"/>
  <c r="H33" i="2"/>
  <c r="H32" i="2"/>
  <c r="H28" i="2"/>
  <c r="I38" i="2"/>
  <c r="I32" i="2"/>
  <c r="I35" i="2"/>
</calcChain>
</file>

<file path=xl/sharedStrings.xml><?xml version="1.0" encoding="utf-8"?>
<sst xmlns="http://schemas.openxmlformats.org/spreadsheetml/2006/main" count="208" uniqueCount="149">
  <si>
    <t>Sector Obras Públicas y Transportes</t>
  </si>
  <si>
    <t xml:space="preserve">Objetivo Sectorial </t>
  </si>
  <si>
    <t>Indicador</t>
  </si>
  <si>
    <t>Línea Base</t>
  </si>
  <si>
    <t xml:space="preserve">Avance de la meta </t>
  </si>
  <si>
    <t xml:space="preserve">2019: 802 </t>
  </si>
  <si>
    <t>B. Disminuir el tiempo de viaje en la Red Vial Nacional, mediante la mejora de la capacidad de la red de carreteras.</t>
  </si>
  <si>
    <t>2022: 3,73 min</t>
  </si>
  <si>
    <t>C. Aumentar la productividad de los puertos del país, mediante la disminución del tiempo promedio de atraque de los buques.</t>
  </si>
  <si>
    <t>2019: 29,56</t>
  </si>
  <si>
    <t>E. Aumentar el volumen de pasajeros que se transportan en el medio aéreo, mediante el aumento en el porcentaje de variación del volumen de pasajeros</t>
  </si>
  <si>
    <t>2019: 5,5%</t>
  </si>
  <si>
    <t>Metas Institucionales</t>
  </si>
  <si>
    <t>Intervención Pública</t>
  </si>
  <si>
    <t>Línea base</t>
  </si>
  <si>
    <t>Meta Anual</t>
  </si>
  <si>
    <t>I trimestre 2025</t>
  </si>
  <si>
    <t>I semestre 2025</t>
  </si>
  <si>
    <t>Anual 2025</t>
  </si>
  <si>
    <t>Porcentaje  de avance
(con respecto a la meta acumulada)*</t>
  </si>
  <si>
    <t>Porcentaje de avance metodología MIDEPLAN**</t>
  </si>
  <si>
    <t>Clasificación*</t>
  </si>
  <si>
    <t>Responsable</t>
  </si>
  <si>
    <t>1) 001546 Rehabilitación y ampliación a 4 carriles de la Ruta Nacional 32, sección: intersección con la Ruta Nacional 4-Limón por parte del CONAVI.
Cat 2.2</t>
  </si>
  <si>
    <t>AB1.Porcentaje acumulado de avance de obra.</t>
  </si>
  <si>
    <t xml:space="preserve">2021: 50,97%
Región: Huetar Caribe
</t>
  </si>
  <si>
    <t xml:space="preserve">2025:100%
</t>
  </si>
  <si>
    <t>CUMPLIMIENTO ALTO</t>
  </si>
  <si>
    <t xml:space="preserve">CONAVI </t>
  </si>
  <si>
    <t>2) 002172 Ampliación y Mejoramiento del Corredor Vial San José – San Ramón.
Cat 2.2</t>
  </si>
  <si>
    <t>AB1.Porcentaje acumulado de avance de etapas</t>
  </si>
  <si>
    <t xml:space="preserve">2021: 12,88% 
Región: Central
</t>
  </si>
  <si>
    <t>2025: 61,49%</t>
  </si>
  <si>
    <t>CUMPLIMIENTO BAJO</t>
  </si>
  <si>
    <t>5) Programa de puentes en la red vial nacional.
Cat 2.1</t>
  </si>
  <si>
    <t>AB1.Cantidad acumulado de puentes</t>
  </si>
  <si>
    <t>2021:20</t>
  </si>
  <si>
    <t>2025:7</t>
  </si>
  <si>
    <t>6) Diseño y construcción del proyecto Ciudad Gobierno.
Cat 2.1</t>
  </si>
  <si>
    <t>B1. Porcentaje acumulado de avance de etapa del proyecto</t>
  </si>
  <si>
    <t>2021: 3% (perfil y prefactibilidad) Región Central</t>
  </si>
  <si>
    <t>2025: 62, 25% (37.25% ejecución)</t>
  </si>
  <si>
    <t>MOPT</t>
  </si>
  <si>
    <t>7) 002547 Ampliación y mejoramiento de Corredor Vial San José- Caldera, Ruta N° 27.
Cat 2.1</t>
  </si>
  <si>
    <t>ABD.1 Porcentaje acumulado de avance Obra</t>
  </si>
  <si>
    <t>2021: 0% 
Regiones Central y Región Pacífico Central</t>
  </si>
  <si>
    <t>2025: 50% (Ejecución)</t>
  </si>
  <si>
    <t>CNC</t>
  </si>
  <si>
    <t>8) Corredor Vial Ruta Nacional número 2 San José – Cartago
Cat 2.2</t>
  </si>
  <si>
    <t xml:space="preserve">ABD.1
Porcentaje acumulado de avance de las etapas del proyecto
</t>
  </si>
  <si>
    <t xml:space="preserve">2021: 3 %
Región central
</t>
  </si>
  <si>
    <t>2025: 18,5% (Financiamiento, Diseño final, Pre ejecución)</t>
  </si>
  <si>
    <t>9) 002649 Construcción  de la Marina  y Terminal de cruceros en Puerto Limón, Costa Rica.
Cat 2.2</t>
  </si>
  <si>
    <t xml:space="preserve">C1.Porcentaje acumulado de avance de etapa del proyecto </t>
  </si>
  <si>
    <t>2021: 3% (Perfil y Prefactibilidad)</t>
  </si>
  <si>
    <t>2025:20% (2,5% Licitacion , adjudicacion y 3% financiamiento, 5% Diseño Final)</t>
  </si>
  <si>
    <t>JAPDEVA</t>
  </si>
  <si>
    <t>10) 002891 Construcción de un duque de alba complementario al Muelle de Cruceros
Cat 2.2</t>
  </si>
  <si>
    <t>2021: 12% (Diseño final)
Región: Pacifico Central</t>
  </si>
  <si>
    <t>2025: 20% (Financiamiento, Licitación y adjudicación)</t>
  </si>
  <si>
    <t>INCOP</t>
  </si>
  <si>
    <t>11) 003288 Reforzamiento y rehabilitación del puente de acceso de la terminal Puntarenas por INCOP.
(003288 BPIP)
Cat 2.2</t>
  </si>
  <si>
    <t xml:space="preserve">C1.Porcentaje acumulado de
avance de etapa
</t>
  </si>
  <si>
    <t xml:space="preserve">2021: 12% 
Región: Pacifico Central
</t>
  </si>
  <si>
    <t>2025: 100% (3,75% Ejecución)</t>
  </si>
  <si>
    <t>12) Desarrollo y Modernización de Puerto Caldera según el Plan Maestro Portuario del Litoral Pacífico 
(003238 BPIP)
Cat 2.2</t>
  </si>
  <si>
    <t xml:space="preserve">2022: 1% (perfil)
Región: Pacifico Central
</t>
  </si>
  <si>
    <t>2025: 15% 
(5% Diseño final y 3% financiamiento)</t>
  </si>
  <si>
    <t>13) 002646 Rehabilitación y Construcción del Tren Eléctrico Limonense de Carga bajo la responsabilidad del INCOFER (TELCA). 
Cat 2.2</t>
  </si>
  <si>
    <t>A1.Porcentaje acumulado de avance de etapas del proyecto</t>
  </si>
  <si>
    <t xml:space="preserve">2021: 7%
Región Huetar Caribe y Huetar Norte
</t>
  </si>
  <si>
    <t xml:space="preserve">2025: 52% 
(3% Pre-Ejecución y 27% Ejecución Fase 1)  </t>
  </si>
  <si>
    <t>INCOFER</t>
  </si>
  <si>
    <t>14) 002788 Reconstrucción de la vía y restablecimiento del servicio ferroviario entre Puntarenas y Alajuela (TPC)
Cat 2.1</t>
  </si>
  <si>
    <t>A1.Porcentaje acumulado de avance de etapa del proyecto</t>
  </si>
  <si>
    <t xml:space="preserve">2021: 0% 
Región Central y Pacífico Central
</t>
  </si>
  <si>
    <t xml:space="preserve">2025: 14% 
(5% Diseño Final, 2% financiamiento)  </t>
  </si>
  <si>
    <t xml:space="preserve">INCOFER </t>
  </si>
  <si>
    <t>15) 002192 Construcción, equipamiento y puesta en operación de un sistema de Tren Rápido de Pasajeros (TRP) en la Gran Área Metropolitana (GAM).
Cat 2.2</t>
  </si>
  <si>
    <t xml:space="preserve">2021: 3%
Región Central
</t>
  </si>
  <si>
    <t xml:space="preserve">2025: 78% 
(34% Ejecución, Línea 1) </t>
  </si>
  <si>
    <t>16) 003371 Construcción de obras Carretera San Carlos, Sección Bernardo Soto-Florencia
Cat 2.2</t>
  </si>
  <si>
    <t xml:space="preserve">ABD.1
Porcentaje acumulado de avance de etapas del proyecto
</t>
  </si>
  <si>
    <t>2021: 1%</t>
  </si>
  <si>
    <t xml:space="preserve">2025: 76% (33% Ejecución de Obra)                                                                                                                                            </t>
  </si>
  <si>
    <t>CUMPLIMIENTO MEDIO</t>
  </si>
  <si>
    <t>21) 002786 Construcción y ampliación de la pista, área de maniobras y obras conexas del Aeropuerto Internacional Daniel Oduber Quirós.
Cat 2.2</t>
  </si>
  <si>
    <t xml:space="preserve">E1.Porcentaje acumulado de
avance de las  etapas del proyecto
</t>
  </si>
  <si>
    <t xml:space="preserve">2021: 12%
Región Chorotega
</t>
  </si>
  <si>
    <t>2025: 95% 
(25% Ejecución)</t>
  </si>
  <si>
    <t>CETAC</t>
  </si>
  <si>
    <t>22) Construcción de la terminal de carga del Aeropuerto Internacional Daniel Oduber Quirós.
Cat 2.1</t>
  </si>
  <si>
    <t>2021:0%</t>
  </si>
  <si>
    <t>2025: 15% 
(5% Diseños, 3% financiamiento)</t>
  </si>
  <si>
    <t>23) Ampliación del Aeropuerto Internacional de Limón
Cat 2.1</t>
  </si>
  <si>
    <t>2021: 0%</t>
  </si>
  <si>
    <t>24) 001172 Mejoramiento del Aeródromo La Managua, Quepos.
Cat 2.1</t>
  </si>
  <si>
    <t xml:space="preserve">E1.Porcentaje acumulado de
avance  de obra
</t>
  </si>
  <si>
    <t xml:space="preserve">2021: 0%
Región Pacífico Central
</t>
  </si>
  <si>
    <t xml:space="preserve">2025: 20% (+5% Prejecución, +3% Financiamiento)
</t>
  </si>
  <si>
    <t>25) 001391 Construcción del Aeropuerto Internacional de la Zona Sur.
Cat 2.1</t>
  </si>
  <si>
    <t>26 .Mejoramiento de la movilidad segura en los nodos y servicios de transporte público de la GAM.
Cat 0</t>
  </si>
  <si>
    <t>B.1 Porcentaje de rutas de transporte público en modalidad autobús que brindan servicio en los nodos de integración con esquemas operativos actualizados.</t>
  </si>
  <si>
    <t>2022:0%</t>
  </si>
  <si>
    <t xml:space="preserve">2025: 50%
</t>
  </si>
  <si>
    <t>CTP</t>
  </si>
  <si>
    <t>B.1  Porcentaje de variación de pasajeros de un año a otro en el transporte ferroviario en las rutas San José-Heredia, San José -Pavas según la influencia de los nodos de integración del transporte.</t>
  </si>
  <si>
    <t>2023:
34,67%</t>
  </si>
  <si>
    <t xml:space="preserve">2025:10%
</t>
  </si>
  <si>
    <t>seguimiento anual</t>
  </si>
  <si>
    <t>NA</t>
  </si>
  <si>
    <t>5) Programa de Saneamiento
Cat 2.1</t>
  </si>
  <si>
    <t>C9. Porcentaje de avance de obra del Programa de Saneamiento en zonas prioritarias.
Cat 2.1</t>
  </si>
  <si>
    <t>2025: 22.5%</t>
  </si>
  <si>
    <t>AYA</t>
  </si>
  <si>
    <t>C10. Porcentaje de avance de obra del Programa de Saneamiento en zonas prioritarias
R. Pacífico Central (Cod.00413 JACO).
Cat 2.1</t>
  </si>
  <si>
    <t xml:space="preserve">NA
</t>
  </si>
  <si>
    <t>C11. Porcentaje de avance de obra del Programa de Saneamiento en zonas prioritarias.
R. Brunca
(Cod.00471 GOLFITO)
Cat 2.1</t>
  </si>
  <si>
    <t>5) Programa de Saneamiento
Cat 2.2</t>
  </si>
  <si>
    <t>C12. Porcentaje de avance de las etapas del proyecto Ampliación y mejoramiento del sistema de alcantarillado sanitario de la Ciudad de Limón. 
R. Huetar Caribe
(Cod. 01233)
Cat 2.1</t>
  </si>
  <si>
    <t>14.97% </t>
  </si>
  <si>
    <t>2025: 58.8%  Sector I: Construcción.</t>
  </si>
  <si>
    <t>9) Plan Nacional de Adaptación al Cambio Climático.
Cat 2.2</t>
  </si>
  <si>
    <t>C20. Porcentaje de avance de las etapas del proyecto
Reducción de Agua no contabilizada.
Cod. 1224
Cat 2.1</t>
  </si>
  <si>
    <t>27.8%</t>
  </si>
  <si>
    <t xml:space="preserve">2025: 100% 
</t>
  </si>
  <si>
    <r>
      <t>Notas: *</t>
    </r>
    <r>
      <rPr>
        <b/>
        <sz val="14"/>
        <color theme="1"/>
        <rFont val="Calibri"/>
        <family val="2"/>
        <scheme val="minor"/>
      </rPr>
      <t>Seguimiento anual:</t>
    </r>
    <r>
      <rPr>
        <sz val="14"/>
        <color theme="1"/>
        <rFont val="Calibri"/>
        <family val="2"/>
        <scheme val="minor"/>
      </rPr>
      <t xml:space="preserve"> las instituciones deben clasificar el cumplimiento de las metas, en función de la relación
entre lo programado y lo ejecutado (porcentaje) en el año (Lineamiento Metodológico - Insumos para elaborar el seguimiento del Plan Nacional de Desarrollo y de Inversión Pública (PNDIP) 2023-2026).</t>
    </r>
  </si>
  <si>
    <t>Cumplimiento Bajo (CB) :</t>
  </si>
  <si>
    <t>Cuando el resultado de la meta es menor o igual a 49,99%</t>
  </si>
  <si>
    <t>Cumplimiento Medio (CM):</t>
  </si>
  <si>
    <t>Cuando el resultado de la meta es menor o igual 89,99% o igual a 50%</t>
  </si>
  <si>
    <t xml:space="preserve">Cumplimiento Alto (CA): </t>
  </si>
  <si>
    <t>Cuando el resultado anual de la meta es mayor o igual a 90%</t>
  </si>
  <si>
    <t>1018 (Estimado)</t>
  </si>
  <si>
    <t>COSEVI
Investigación y Estadística.</t>
  </si>
  <si>
    <t xml:space="preserve">Cantidad de muertes por accidentes de tránsito en el país
</t>
  </si>
  <si>
    <t xml:space="preserve">Tiempo de viaje en la Red Vial Nacional
</t>
  </si>
  <si>
    <t xml:space="preserve">Tiempo promedio de atraque de los buques en puertos.
</t>
  </si>
  <si>
    <t xml:space="preserve">Porcentaje de variación del volumen de pasajeros de un año con respecto al anterior (Incluye vuelos nacionales e internacionales).
</t>
  </si>
  <si>
    <t>A. Disminuir las defunciones por accidente de tránsito implementando acciones de movilidad y seguridad vial.</t>
  </si>
  <si>
    <t>PEMIST-SPS</t>
  </si>
  <si>
    <t>JAPDEVA
INCOP
PEMIST-SPS</t>
  </si>
  <si>
    <t>DGAC
PEMIST-SPS</t>
  </si>
  <si>
    <t xml:space="preserve">SEGUIMIENTO ANUAL  2025 PNDIP </t>
  </si>
  <si>
    <t xml:space="preserve">Metas Sectoriales </t>
  </si>
  <si>
    <t>Porcentaje de avance metodología MIDEPLAN</t>
  </si>
  <si>
    <t xml:space="preserve"> Clasificación </t>
  </si>
  <si>
    <t xml:space="preserve"> Responsable </t>
  </si>
  <si>
    <t>Meta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</si>
</sst>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HendersonSansW00-BasicBold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2"/>
      <name val="HendersonSansW00-BasicLight"/>
    </font>
    <font>
      <b/>
      <sz val="12"/>
      <color theme="1"/>
      <name val="HendersonSansW00-BasicLight"/>
    </font>
    <font>
      <sz val="12"/>
      <name val="Baskerville Old Face"/>
      <family val="1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 Light"/>
      <family val="2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1EC1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49" fontId="6" fillId="6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8" fillId="6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0" fillId="5" borderId="0" xfId="0" applyFont="1" applyFill="1"/>
    <xf numFmtId="0" fontId="3" fillId="0" borderId="0" xfId="0" applyFont="1"/>
    <xf numFmtId="0" fontId="10" fillId="3" borderId="0" xfId="0" applyFont="1" applyFill="1"/>
    <xf numFmtId="0" fontId="10" fillId="4" borderId="0" xfId="0" applyFont="1" applyFill="1"/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10" fontId="12" fillId="0" borderId="2" xfId="0" applyNumberFormat="1" applyFont="1" applyBorder="1" applyAlignment="1">
      <alignment horizontal="center" vertical="top" wrapText="1"/>
    </xf>
    <xf numFmtId="4" fontId="12" fillId="0" borderId="2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top" wrapText="1"/>
    </xf>
    <xf numFmtId="9" fontId="12" fillId="0" borderId="2" xfId="0" applyNumberFormat="1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10" fontId="12" fillId="0" borderId="3" xfId="0" applyNumberFormat="1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10" fontId="13" fillId="0" borderId="2" xfId="0" applyNumberFormat="1" applyFont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0" fontId="12" fillId="5" borderId="2" xfId="0" applyNumberFormat="1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10" fontId="12" fillId="2" borderId="2" xfId="0" applyNumberFormat="1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8" borderId="2" xfId="0" applyFont="1" applyFill="1" applyBorder="1" applyAlignment="1">
      <alignment horizontal="center" vertical="top" wrapText="1"/>
    </xf>
    <xf numFmtId="10" fontId="17" fillId="0" borderId="2" xfId="0" applyNumberFormat="1" applyFont="1" applyBorder="1" applyAlignment="1">
      <alignment horizontal="center" vertical="top"/>
    </xf>
    <xf numFmtId="0" fontId="14" fillId="7" borderId="2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16" fillId="7" borderId="2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17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10" fontId="17" fillId="0" borderId="3" xfId="0" applyNumberFormat="1" applyFont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2" fontId="18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top" wrapText="1"/>
    </xf>
    <xf numFmtId="10" fontId="17" fillId="0" borderId="2" xfId="0" applyNumberFormat="1" applyFont="1" applyBorder="1" applyAlignment="1">
      <alignment horizontal="center" vertical="top" wrapText="1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49" fontId="20" fillId="9" borderId="2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readingOrder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1EC13"/>
      <color rgb="FFE4C2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</xdr:colOff>
      <xdr:row>13</xdr:row>
      <xdr:rowOff>0</xdr:rowOff>
    </xdr:from>
    <xdr:to>
      <xdr:col>0</xdr:col>
      <xdr:colOff>333012</xdr:colOff>
      <xdr:row>15</xdr:row>
      <xdr:rowOff>143279</xdr:rowOff>
    </xdr:to>
    <xdr:sp macro="" textlink="">
      <xdr:nvSpPr>
        <xdr:cNvPr id="8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427961F7-B91E-40F0-9C4D-CD4E5AD1914F}"/>
            </a:ext>
          </a:extLst>
        </xdr:cNvPr>
        <xdr:cNvSpPr>
          <a:spLocks noChangeAspect="1" noChangeArrowheads="1"/>
        </xdr:cNvSpPr>
      </xdr:nvSpPr>
      <xdr:spPr bwMode="auto">
        <a:xfrm>
          <a:off x="32657" y="5780314"/>
          <a:ext cx="304800" cy="6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180975</xdr:colOff>
      <xdr:row>13</xdr:row>
      <xdr:rowOff>0</xdr:rowOff>
    </xdr:from>
    <xdr:to>
      <xdr:col>0</xdr:col>
      <xdr:colOff>479107</xdr:colOff>
      <xdr:row>15</xdr:row>
      <xdr:rowOff>144349</xdr:rowOff>
    </xdr:to>
    <xdr:sp macro="" textlink="">
      <xdr:nvSpPr>
        <xdr:cNvPr id="9" name="AutoShape 8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0BD2D8EA-4147-424B-9A55-D7815A5C4219}"/>
            </a:ext>
          </a:extLst>
        </xdr:cNvPr>
        <xdr:cNvSpPr>
          <a:spLocks noChangeAspect="1" noChangeArrowheads="1"/>
        </xdr:cNvSpPr>
      </xdr:nvSpPr>
      <xdr:spPr bwMode="auto">
        <a:xfrm>
          <a:off x="177800" y="4673600"/>
          <a:ext cx="300672" cy="289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16</xdr:row>
      <xdr:rowOff>992709</xdr:rowOff>
    </xdr:to>
    <xdr:sp macro="" textlink="">
      <xdr:nvSpPr>
        <xdr:cNvPr id="10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B52B6A62-649E-4199-9AC6-0F786452981C}"/>
            </a:ext>
          </a:extLst>
        </xdr:cNvPr>
        <xdr:cNvSpPr>
          <a:spLocks noChangeAspect="1" noChangeArrowheads="1"/>
        </xdr:cNvSpPr>
      </xdr:nvSpPr>
      <xdr:spPr bwMode="auto">
        <a:xfrm>
          <a:off x="0" y="3943350"/>
          <a:ext cx="304800" cy="627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8</xdr:row>
      <xdr:rowOff>1379605</xdr:rowOff>
    </xdr:to>
    <xdr:sp macro="" textlink="">
      <xdr:nvSpPr>
        <xdr:cNvPr id="3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B196F385-5440-4DD0-A0B2-75723F710933}"/>
            </a:ext>
          </a:extLst>
        </xdr:cNvPr>
        <xdr:cNvSpPr>
          <a:spLocks noChangeAspect="1" noChangeArrowheads="1"/>
        </xdr:cNvSpPr>
      </xdr:nvSpPr>
      <xdr:spPr bwMode="auto">
        <a:xfrm>
          <a:off x="0" y="6734175"/>
          <a:ext cx="304800" cy="264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56</xdr:row>
      <xdr:rowOff>0</xdr:rowOff>
    </xdr:from>
    <xdr:ext cx="304800" cy="4538730"/>
    <xdr:sp macro="" textlink="">
      <xdr:nvSpPr>
        <xdr:cNvPr id="4" name="AutoShape 3" descr="https://mail.google.com/mail/u/2?ui=2&amp;ik=75a2aa31e9&amp;attid=0.1&amp;permmsgid=msg-f:1674380461821240028&amp;th=173c9828a5b5a2dc&amp;view=fimg&amp;sz=s0-l75-ft&amp;attbid=ANGjdJ8M-N953wTiKPUOb_4chVuPjSUGI1fh94ut0-mbb9g5MQvcd5X4OiDwX1bEWuwMVCvExxgdCA1YRRBgFOoLs04Z2unRelTKgN692LFgncTuqhxrz4smDUU-iG8&amp;disp=emb&amp;realattid=173c938ad32df767f2e1">
          <a:extLst>
            <a:ext uri="{FF2B5EF4-FFF2-40B4-BE49-F238E27FC236}">
              <a16:creationId xmlns:a16="http://schemas.microsoft.com/office/drawing/2014/main" id="{FF7E5644-8E3D-4D42-B88F-75042EA8793E}"/>
            </a:ext>
          </a:extLst>
        </xdr:cNvPr>
        <xdr:cNvSpPr>
          <a:spLocks noChangeAspect="1" noChangeArrowheads="1"/>
        </xdr:cNvSpPr>
      </xdr:nvSpPr>
      <xdr:spPr bwMode="auto">
        <a:xfrm>
          <a:off x="0" y="9667875"/>
          <a:ext cx="304800" cy="4538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"/>
  <sheetViews>
    <sheetView tabSelected="1" topLeftCell="A7" zoomScale="60" zoomScaleNormal="60" workbookViewId="0">
      <selection activeCell="F10" sqref="F10"/>
    </sheetView>
  </sheetViews>
  <sheetFormatPr baseColWidth="10" defaultColWidth="11.54296875" defaultRowHeight="14.5" x14ac:dyDescent="0.35"/>
  <cols>
    <col min="1" max="1" width="47.54296875" customWidth="1"/>
    <col min="2" max="2" width="25.1796875" style="7" customWidth="1"/>
    <col min="3" max="3" width="24.90625" customWidth="1"/>
    <col min="4" max="4" width="25.1796875" customWidth="1"/>
    <col min="5" max="7" width="21.1796875" customWidth="1"/>
    <col min="8" max="8" width="26.453125" customWidth="1"/>
    <col min="9" max="9" width="26.7265625" customWidth="1"/>
    <col min="10" max="10" width="32.81640625" customWidth="1"/>
    <col min="11" max="11" width="23.26953125" customWidth="1"/>
    <col min="12" max="12" width="49.453125" customWidth="1"/>
    <col min="13" max="13" width="53.08984375" customWidth="1"/>
    <col min="14" max="14" width="32.7265625" customWidth="1"/>
    <col min="15" max="15" width="20.453125" customWidth="1"/>
    <col min="16" max="16" width="24.90625" customWidth="1"/>
  </cols>
  <sheetData>
    <row r="1" spans="1:12" ht="21" x14ac:dyDescent="0.5">
      <c r="A1" s="12"/>
      <c r="B1" s="4"/>
      <c r="C1" s="4"/>
      <c r="D1" s="4"/>
      <c r="E1" s="4"/>
      <c r="F1" s="4"/>
      <c r="G1" s="4"/>
      <c r="H1" s="4"/>
      <c r="I1" s="4"/>
      <c r="J1" s="4"/>
      <c r="L1" s="4"/>
    </row>
    <row r="2" spans="1:12" ht="23" x14ac:dyDescent="0.7">
      <c r="A2" s="65" t="s">
        <v>143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4"/>
    </row>
    <row r="3" spans="1:12" ht="23" x14ac:dyDescent="0.7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4"/>
    </row>
    <row r="4" spans="1:12" ht="21" x14ac:dyDescent="0.5">
      <c r="A4" s="12"/>
      <c r="B4" s="4"/>
      <c r="C4" s="4"/>
      <c r="D4" s="4"/>
      <c r="E4" s="4"/>
      <c r="F4" s="4"/>
      <c r="G4" s="4"/>
      <c r="H4" s="4"/>
      <c r="I4" s="4"/>
      <c r="J4" s="4"/>
      <c r="L4" s="4"/>
    </row>
    <row r="5" spans="1:12" ht="23" x14ac:dyDescent="0.7">
      <c r="A5" s="47" t="s">
        <v>144</v>
      </c>
      <c r="B5" s="47"/>
      <c r="C5" s="47"/>
      <c r="D5" s="47"/>
      <c r="E5" s="47"/>
      <c r="F5" s="47"/>
      <c r="G5" s="47"/>
      <c r="H5" s="47"/>
      <c r="I5" s="4"/>
      <c r="J5" s="4"/>
      <c r="L5" s="4"/>
    </row>
    <row r="6" spans="1:12" ht="23" x14ac:dyDescent="0.7">
      <c r="A6" s="47"/>
      <c r="B6" s="47"/>
      <c r="C6" s="47"/>
      <c r="D6" s="47"/>
      <c r="E6" s="47"/>
      <c r="F6" s="47"/>
      <c r="G6" s="47"/>
      <c r="H6" s="47"/>
      <c r="I6" s="4"/>
      <c r="J6" s="4"/>
      <c r="L6" s="4"/>
    </row>
    <row r="7" spans="1:12" ht="90" customHeight="1" x14ac:dyDescent="0.5">
      <c r="A7" s="61" t="s">
        <v>1</v>
      </c>
      <c r="B7" s="61" t="s">
        <v>2</v>
      </c>
      <c r="C7" s="61" t="s">
        <v>3</v>
      </c>
      <c r="D7" s="62" t="s">
        <v>148</v>
      </c>
      <c r="E7" s="62" t="s">
        <v>4</v>
      </c>
      <c r="F7" s="63" t="s">
        <v>145</v>
      </c>
      <c r="G7" s="63" t="s">
        <v>146</v>
      </c>
      <c r="H7" s="63" t="s">
        <v>147</v>
      </c>
      <c r="I7" s="4"/>
      <c r="J7" s="4"/>
      <c r="L7" s="4"/>
    </row>
    <row r="8" spans="1:12" ht="21" x14ac:dyDescent="0.5">
      <c r="A8" s="43"/>
      <c r="B8" s="46"/>
      <c r="C8" s="43"/>
      <c r="D8" s="44"/>
      <c r="E8" s="44"/>
      <c r="F8" s="44"/>
      <c r="G8" s="45"/>
      <c r="H8" s="45"/>
      <c r="I8" s="4"/>
      <c r="J8" s="4"/>
      <c r="L8" s="4"/>
    </row>
    <row r="9" spans="1:12" ht="143.5" customHeight="1" x14ac:dyDescent="0.5">
      <c r="A9" s="48" t="s">
        <v>139</v>
      </c>
      <c r="B9" s="49" t="s">
        <v>135</v>
      </c>
      <c r="C9" s="49" t="s">
        <v>5</v>
      </c>
      <c r="D9" s="50">
        <v>727</v>
      </c>
      <c r="E9" s="51" t="s">
        <v>133</v>
      </c>
      <c r="F9" s="52">
        <v>0</v>
      </c>
      <c r="G9" s="53" t="s">
        <v>33</v>
      </c>
      <c r="H9" s="51" t="s">
        <v>134</v>
      </c>
      <c r="I9" s="4"/>
      <c r="J9" s="4"/>
      <c r="L9" s="4"/>
    </row>
    <row r="10" spans="1:12" ht="115" customHeight="1" x14ac:dyDescent="0.5">
      <c r="A10" s="54" t="s">
        <v>6</v>
      </c>
      <c r="B10" s="55" t="s">
        <v>136</v>
      </c>
      <c r="C10" s="55" t="s">
        <v>7</v>
      </c>
      <c r="D10" s="56">
        <v>3.65</v>
      </c>
      <c r="E10" s="57">
        <v>3.97</v>
      </c>
      <c r="F10" s="60">
        <v>0</v>
      </c>
      <c r="G10" s="53" t="s">
        <v>33</v>
      </c>
      <c r="H10" s="58" t="s">
        <v>140</v>
      </c>
      <c r="I10" s="4"/>
      <c r="J10" s="4"/>
      <c r="L10" s="4"/>
    </row>
    <row r="11" spans="1:12" ht="149.5" customHeight="1" x14ac:dyDescent="0.5">
      <c r="A11" s="54" t="s">
        <v>8</v>
      </c>
      <c r="B11" s="55" t="s">
        <v>137</v>
      </c>
      <c r="C11" s="59" t="s">
        <v>9</v>
      </c>
      <c r="D11" s="56">
        <v>25</v>
      </c>
      <c r="E11" s="57">
        <v>208.57</v>
      </c>
      <c r="F11" s="60">
        <v>0</v>
      </c>
      <c r="G11" s="53" t="s">
        <v>33</v>
      </c>
      <c r="H11" s="58" t="s">
        <v>141</v>
      </c>
      <c r="I11" s="4"/>
      <c r="J11" s="4"/>
      <c r="L11" s="4"/>
    </row>
    <row r="12" spans="1:12" ht="193" customHeight="1" x14ac:dyDescent="0.5">
      <c r="A12" s="54" t="s">
        <v>10</v>
      </c>
      <c r="B12" s="55" t="s">
        <v>138</v>
      </c>
      <c r="C12" s="55" t="s">
        <v>11</v>
      </c>
      <c r="D12" s="42">
        <v>6.5000000000000002E-2</v>
      </c>
      <c r="E12" s="57">
        <v>-13.38</v>
      </c>
      <c r="F12" s="60">
        <v>0</v>
      </c>
      <c r="G12" s="53" t="s">
        <v>33</v>
      </c>
      <c r="H12" s="58" t="s">
        <v>142</v>
      </c>
      <c r="I12" s="4"/>
      <c r="J12" s="4"/>
      <c r="L12" s="4"/>
    </row>
    <row r="13" spans="1:12" ht="23" x14ac:dyDescent="0.7">
      <c r="A13" s="4"/>
      <c r="B13" s="47"/>
      <c r="C13" s="47"/>
      <c r="D13" s="47"/>
      <c r="E13" s="47"/>
      <c r="F13" s="47"/>
      <c r="G13" s="47"/>
      <c r="H13" s="47"/>
      <c r="I13" s="47"/>
      <c r="J13" s="4"/>
      <c r="K13" s="4"/>
      <c r="L13" s="4"/>
    </row>
    <row r="14" spans="1:12" ht="23" x14ac:dyDescent="0.7">
      <c r="A14" s="5" t="s">
        <v>12</v>
      </c>
      <c r="B14" s="12"/>
      <c r="C14" s="4"/>
      <c r="D14" s="4"/>
      <c r="E14" s="4"/>
      <c r="F14" s="4"/>
      <c r="G14" s="4"/>
      <c r="H14" s="4"/>
      <c r="I14" s="4"/>
      <c r="J14" s="4"/>
      <c r="K14" s="4"/>
    </row>
    <row r="15" spans="1:12" ht="15" thickBot="1" x14ac:dyDescent="0.4"/>
    <row r="16" spans="1:12" s="1" customFormat="1" ht="92.15" customHeight="1" x14ac:dyDescent="0.35">
      <c r="A16" s="2" t="s">
        <v>13</v>
      </c>
      <c r="B16" s="2" t="s">
        <v>2</v>
      </c>
      <c r="C16" s="2" t="s">
        <v>14</v>
      </c>
      <c r="D16" s="2" t="s">
        <v>15</v>
      </c>
      <c r="E16" s="3" t="s">
        <v>16</v>
      </c>
      <c r="F16" s="3" t="s">
        <v>17</v>
      </c>
      <c r="G16" s="3" t="s">
        <v>18</v>
      </c>
      <c r="H16" s="6" t="s">
        <v>19</v>
      </c>
      <c r="I16" s="3" t="s">
        <v>20</v>
      </c>
      <c r="J16" s="3" t="s">
        <v>21</v>
      </c>
      <c r="K16" s="3" t="s">
        <v>22</v>
      </c>
    </row>
    <row r="17" spans="1:11" ht="114" customHeight="1" x14ac:dyDescent="0.35">
      <c r="A17" s="30" t="s">
        <v>23</v>
      </c>
      <c r="B17" s="26" t="s">
        <v>24</v>
      </c>
      <c r="C17" s="26" t="s">
        <v>25</v>
      </c>
      <c r="D17" s="26" t="s">
        <v>26</v>
      </c>
      <c r="E17" s="27">
        <v>0.92900000000000005</v>
      </c>
      <c r="F17" s="27">
        <v>0.94499999999999995</v>
      </c>
      <c r="G17" s="27">
        <v>0.98819999999999997</v>
      </c>
      <c r="H17" s="27">
        <f>(98.82/100)</f>
        <v>0.98819999999999997</v>
      </c>
      <c r="I17" s="28">
        <f>((98.82-50.97)/(100-50.97))*100</f>
        <v>97.593310218233725</v>
      </c>
      <c r="J17" s="34" t="s">
        <v>27</v>
      </c>
      <c r="K17" s="29" t="s">
        <v>28</v>
      </c>
    </row>
    <row r="18" spans="1:11" ht="85.5" customHeight="1" x14ac:dyDescent="0.35">
      <c r="A18" s="31" t="s">
        <v>29</v>
      </c>
      <c r="B18" s="15" t="s">
        <v>30</v>
      </c>
      <c r="C18" s="15" t="s">
        <v>31</v>
      </c>
      <c r="D18" s="15" t="s">
        <v>32</v>
      </c>
      <c r="E18" s="16">
        <v>0.1232</v>
      </c>
      <c r="F18" s="16">
        <v>0.1237</v>
      </c>
      <c r="G18" s="16">
        <v>0.14219999999999999</v>
      </c>
      <c r="H18" s="16">
        <f>14.22/61.49</f>
        <v>0.23125711497804521</v>
      </c>
      <c r="I18" s="16">
        <f>((14.22-12.88)/(61.49-12.88))</f>
        <v>2.7566344373585679E-2</v>
      </c>
      <c r="J18" s="35" t="s">
        <v>33</v>
      </c>
      <c r="K18" s="18" t="s">
        <v>28</v>
      </c>
    </row>
    <row r="19" spans="1:11" ht="96" customHeight="1" x14ac:dyDescent="0.35">
      <c r="A19" s="31" t="s">
        <v>34</v>
      </c>
      <c r="B19" s="15" t="s">
        <v>35</v>
      </c>
      <c r="C19" s="19" t="s">
        <v>36</v>
      </c>
      <c r="D19" s="20" t="s">
        <v>37</v>
      </c>
      <c r="E19" s="15">
        <v>6</v>
      </c>
      <c r="F19" s="15">
        <v>6</v>
      </c>
      <c r="G19" s="15">
        <v>7</v>
      </c>
      <c r="H19" s="16">
        <f>(7/7)</f>
        <v>1</v>
      </c>
      <c r="I19" s="17">
        <f>(7/7)*100</f>
        <v>100</v>
      </c>
      <c r="J19" s="36" t="s">
        <v>27</v>
      </c>
      <c r="K19" s="18" t="s">
        <v>28</v>
      </c>
    </row>
    <row r="20" spans="1:11" ht="108" customHeight="1" x14ac:dyDescent="0.35">
      <c r="A20" s="31" t="s">
        <v>38</v>
      </c>
      <c r="B20" s="15" t="s">
        <v>39</v>
      </c>
      <c r="C20" s="15" t="s">
        <v>40</v>
      </c>
      <c r="D20" s="15" t="s">
        <v>41</v>
      </c>
      <c r="E20" s="21">
        <v>0</v>
      </c>
      <c r="F20" s="21">
        <v>0</v>
      </c>
      <c r="G20" s="21">
        <v>0</v>
      </c>
      <c r="H20" s="16">
        <v>0</v>
      </c>
      <c r="I20" s="17">
        <f>(0/25)*100</f>
        <v>0</v>
      </c>
      <c r="J20" s="37" t="s">
        <v>33</v>
      </c>
      <c r="K20" s="18" t="s">
        <v>42</v>
      </c>
    </row>
    <row r="21" spans="1:11" ht="126" customHeight="1" x14ac:dyDescent="0.35">
      <c r="A21" s="31" t="s">
        <v>43</v>
      </c>
      <c r="B21" s="15" t="s">
        <v>44</v>
      </c>
      <c r="C21" s="15" t="s">
        <v>45</v>
      </c>
      <c r="D21" s="15" t="s">
        <v>46</v>
      </c>
      <c r="E21" s="21">
        <v>0</v>
      </c>
      <c r="F21" s="21">
        <v>0</v>
      </c>
      <c r="G21" s="21">
        <v>0</v>
      </c>
      <c r="H21" s="16">
        <f>0/50</f>
        <v>0</v>
      </c>
      <c r="I21" s="16">
        <f>(0/50)</f>
        <v>0</v>
      </c>
      <c r="J21" s="38" t="s">
        <v>33</v>
      </c>
      <c r="K21" s="18" t="s">
        <v>47</v>
      </c>
    </row>
    <row r="22" spans="1:11" ht="90.75" customHeight="1" x14ac:dyDescent="0.35">
      <c r="A22" s="31" t="s">
        <v>48</v>
      </c>
      <c r="B22" s="15" t="s">
        <v>49</v>
      </c>
      <c r="C22" s="15" t="s">
        <v>50</v>
      </c>
      <c r="D22" s="15" t="s">
        <v>51</v>
      </c>
      <c r="E22" s="21">
        <v>7.0000000000000007E-2</v>
      </c>
      <c r="F22" s="21">
        <v>7.0000000000000007E-2</v>
      </c>
      <c r="G22" s="21">
        <v>7.0000000000000007E-2</v>
      </c>
      <c r="H22" s="16">
        <f>7/18.5</f>
        <v>0.3783783783783784</v>
      </c>
      <c r="I22" s="16">
        <f>((7-3)/(18.5-3))</f>
        <v>0.25806451612903225</v>
      </c>
      <c r="J22" s="38" t="s">
        <v>33</v>
      </c>
      <c r="K22" s="18" t="s">
        <v>47</v>
      </c>
    </row>
    <row r="23" spans="1:11" ht="111.75" customHeight="1" x14ac:dyDescent="0.35">
      <c r="A23" s="30" t="s">
        <v>52</v>
      </c>
      <c r="B23" s="26" t="s">
        <v>53</v>
      </c>
      <c r="C23" s="26" t="s">
        <v>54</v>
      </c>
      <c r="D23" s="26" t="s">
        <v>55</v>
      </c>
      <c r="E23" s="27">
        <v>6.3799999999999996E-2</v>
      </c>
      <c r="F23" s="27">
        <v>6.3799999999999996E-2</v>
      </c>
      <c r="G23" s="27">
        <v>6.6000000000000003E-2</v>
      </c>
      <c r="H23" s="27">
        <f>6.6/20</f>
        <v>0.32999999999999996</v>
      </c>
      <c r="I23" s="27">
        <f>(6.6-3)/(20-3)</f>
        <v>0.21176470588235291</v>
      </c>
      <c r="J23" s="38" t="s">
        <v>33</v>
      </c>
      <c r="K23" s="29" t="s">
        <v>56</v>
      </c>
    </row>
    <row r="24" spans="1:11" ht="114.75" customHeight="1" x14ac:dyDescent="0.35">
      <c r="A24" s="31" t="s">
        <v>57</v>
      </c>
      <c r="B24" s="23" t="s">
        <v>53</v>
      </c>
      <c r="C24" s="23" t="s">
        <v>58</v>
      </c>
      <c r="D24" s="15" t="s">
        <v>59</v>
      </c>
      <c r="E24" s="16">
        <v>0.17499999999999999</v>
      </c>
      <c r="F24" s="16">
        <v>0.19500000000000001</v>
      </c>
      <c r="G24" s="16">
        <v>0.19500000000000001</v>
      </c>
      <c r="H24" s="39">
        <f>19.5/20</f>
        <v>0.97499999999999998</v>
      </c>
      <c r="I24" s="39">
        <f>(19.5-12)/(20-12)</f>
        <v>0.9375</v>
      </c>
      <c r="J24" s="36" t="s">
        <v>27</v>
      </c>
      <c r="K24" s="18" t="s">
        <v>60</v>
      </c>
    </row>
    <row r="25" spans="1:11" ht="126.75" customHeight="1" x14ac:dyDescent="0.35">
      <c r="A25" s="30" t="s">
        <v>61</v>
      </c>
      <c r="B25" s="26" t="s">
        <v>62</v>
      </c>
      <c r="C25" s="26" t="s">
        <v>63</v>
      </c>
      <c r="D25" s="26" t="s">
        <v>64</v>
      </c>
      <c r="E25" s="27">
        <v>0.34</v>
      </c>
      <c r="F25" s="27">
        <v>0.34</v>
      </c>
      <c r="G25" s="27">
        <v>0.33829999999999999</v>
      </c>
      <c r="H25" s="27">
        <f>26.9/100</f>
        <v>0.26899999999999996</v>
      </c>
      <c r="I25" s="27">
        <f>(33.83-12)/(100-12)</f>
        <v>0.2480681818181818</v>
      </c>
      <c r="J25" s="40" t="s">
        <v>33</v>
      </c>
      <c r="K25" s="29" t="s">
        <v>60</v>
      </c>
    </row>
    <row r="26" spans="1:11" ht="138" customHeight="1" x14ac:dyDescent="0.35">
      <c r="A26" s="31" t="s">
        <v>65</v>
      </c>
      <c r="B26" s="23" t="s">
        <v>62</v>
      </c>
      <c r="C26" s="23" t="s">
        <v>66</v>
      </c>
      <c r="D26" s="15" t="s">
        <v>67</v>
      </c>
      <c r="E26" s="16">
        <v>0.15</v>
      </c>
      <c r="F26" s="16">
        <v>0.15</v>
      </c>
      <c r="G26" s="16">
        <v>7.0000000000000007E-2</v>
      </c>
      <c r="H26" s="16">
        <f>G26/F26</f>
        <v>0.46666666666666673</v>
      </c>
      <c r="I26" s="16">
        <f>(7-1)/(15-1)</f>
        <v>0.42857142857142855</v>
      </c>
      <c r="J26" s="40" t="s">
        <v>33</v>
      </c>
      <c r="K26" s="18" t="s">
        <v>60</v>
      </c>
    </row>
    <row r="27" spans="1:11" ht="135" customHeight="1" x14ac:dyDescent="0.35">
      <c r="A27" s="30" t="s">
        <v>68</v>
      </c>
      <c r="B27" s="26" t="s">
        <v>69</v>
      </c>
      <c r="C27" s="26" t="s">
        <v>70</v>
      </c>
      <c r="D27" s="26" t="s">
        <v>71</v>
      </c>
      <c r="E27" s="27">
        <v>5.8799999999999998E-2</v>
      </c>
      <c r="F27" s="27">
        <v>5.8799999999999998E-2</v>
      </c>
      <c r="G27" s="27">
        <v>5.8799999999999998E-2</v>
      </c>
      <c r="H27" s="27">
        <f>5.88/52</f>
        <v>0.11307692307692307</v>
      </c>
      <c r="I27" s="27">
        <f>((5.88-7)/(52-7))*0</f>
        <v>0</v>
      </c>
      <c r="J27" s="40" t="s">
        <v>33</v>
      </c>
      <c r="K27" s="29" t="s">
        <v>72</v>
      </c>
    </row>
    <row r="28" spans="1:11" ht="138.75" customHeight="1" x14ac:dyDescent="0.35">
      <c r="A28" s="31" t="s">
        <v>73</v>
      </c>
      <c r="B28" s="15" t="s">
        <v>74</v>
      </c>
      <c r="C28" s="15" t="s">
        <v>75</v>
      </c>
      <c r="D28" s="15" t="s">
        <v>76</v>
      </c>
      <c r="E28" s="21">
        <v>0</v>
      </c>
      <c r="F28" s="21">
        <v>0</v>
      </c>
      <c r="G28" s="21">
        <v>0</v>
      </c>
      <c r="H28" s="16">
        <f>0/7</f>
        <v>0</v>
      </c>
      <c r="I28" s="17">
        <f>0/7*100</f>
        <v>0</v>
      </c>
      <c r="J28" s="40" t="s">
        <v>33</v>
      </c>
      <c r="K28" s="18" t="s">
        <v>77</v>
      </c>
    </row>
    <row r="29" spans="1:11" ht="141" customHeight="1" x14ac:dyDescent="0.35">
      <c r="A29" s="31" t="s">
        <v>78</v>
      </c>
      <c r="B29" s="15" t="s">
        <v>74</v>
      </c>
      <c r="C29" s="15" t="s">
        <v>79</v>
      </c>
      <c r="D29" s="15" t="s">
        <v>80</v>
      </c>
      <c r="E29" s="16">
        <v>6.6000000000000003E-2</v>
      </c>
      <c r="F29" s="16">
        <v>6.6000000000000003E-2</v>
      </c>
      <c r="G29" s="16">
        <v>9.2499999999999999E-2</v>
      </c>
      <c r="H29" s="16">
        <f>9.25/78</f>
        <v>0.11858974358974358</v>
      </c>
      <c r="I29" s="16">
        <f>((9.25-3)/(78-3))</f>
        <v>8.3333333333333329E-2</v>
      </c>
      <c r="J29" s="40" t="s">
        <v>33</v>
      </c>
      <c r="K29" s="18" t="s">
        <v>77</v>
      </c>
    </row>
    <row r="30" spans="1:11" ht="110.25" customHeight="1" x14ac:dyDescent="0.35">
      <c r="A30" s="31" t="s">
        <v>81</v>
      </c>
      <c r="B30" s="15" t="s">
        <v>82</v>
      </c>
      <c r="C30" s="15" t="s">
        <v>83</v>
      </c>
      <c r="D30" s="15" t="s">
        <v>84</v>
      </c>
      <c r="E30" s="16">
        <v>0.48380000000000001</v>
      </c>
      <c r="F30" s="16">
        <v>0.50549999999999995</v>
      </c>
      <c r="G30" s="16">
        <v>0.51080000000000003</v>
      </c>
      <c r="H30" s="16">
        <f>51.08/76</f>
        <v>0.67210526315789476</v>
      </c>
      <c r="I30" s="16">
        <f>((51.08-1)/(76-1))</f>
        <v>0.66773333333333329</v>
      </c>
      <c r="J30" s="41" t="s">
        <v>85</v>
      </c>
      <c r="K30" s="18" t="s">
        <v>42</v>
      </c>
    </row>
    <row r="31" spans="1:11" ht="151.5" customHeight="1" x14ac:dyDescent="0.35">
      <c r="A31" s="31" t="s">
        <v>86</v>
      </c>
      <c r="B31" s="15" t="s">
        <v>87</v>
      </c>
      <c r="C31" s="15" t="s">
        <v>88</v>
      </c>
      <c r="D31" s="15" t="s">
        <v>89</v>
      </c>
      <c r="E31" s="16">
        <v>0.21379999999999999</v>
      </c>
      <c r="F31" s="16">
        <v>0.40129999999999999</v>
      </c>
      <c r="G31" s="16">
        <v>0.42130000000000001</v>
      </c>
      <c r="H31" s="16">
        <f>42.13/95</f>
        <v>0.44347368421052635</v>
      </c>
      <c r="I31" s="16">
        <f>((42.13-12)/(95-12))</f>
        <v>0.36301204819277111</v>
      </c>
      <c r="J31" s="38" t="s">
        <v>33</v>
      </c>
      <c r="K31" s="18" t="s">
        <v>90</v>
      </c>
    </row>
    <row r="32" spans="1:11" ht="105" customHeight="1" x14ac:dyDescent="0.35">
      <c r="A32" s="31" t="s">
        <v>91</v>
      </c>
      <c r="B32" s="15" t="s">
        <v>87</v>
      </c>
      <c r="C32" s="15" t="s">
        <v>92</v>
      </c>
      <c r="D32" s="15" t="s">
        <v>93</v>
      </c>
      <c r="E32" s="16">
        <v>0</v>
      </c>
      <c r="F32" s="16">
        <v>0</v>
      </c>
      <c r="G32" s="16">
        <v>0</v>
      </c>
      <c r="H32" s="16">
        <f>0/7</f>
        <v>0</v>
      </c>
      <c r="I32" s="17">
        <f>(0/3)*100</f>
        <v>0</v>
      </c>
      <c r="J32" s="38" t="s">
        <v>33</v>
      </c>
      <c r="K32" s="18" t="s">
        <v>90</v>
      </c>
    </row>
    <row r="33" spans="1:12" ht="99" customHeight="1" x14ac:dyDescent="0.35">
      <c r="A33" s="31" t="s">
        <v>94</v>
      </c>
      <c r="B33" s="15" t="s">
        <v>87</v>
      </c>
      <c r="C33" s="15" t="s">
        <v>95</v>
      </c>
      <c r="D33" s="15" t="s">
        <v>93</v>
      </c>
      <c r="E33" s="16">
        <v>0</v>
      </c>
      <c r="F33" s="16">
        <v>0</v>
      </c>
      <c r="G33" s="16">
        <v>0</v>
      </c>
      <c r="H33" s="16">
        <f>0/7</f>
        <v>0</v>
      </c>
      <c r="I33" s="16">
        <f>(0/3)</f>
        <v>0</v>
      </c>
      <c r="J33" s="38" t="s">
        <v>33</v>
      </c>
      <c r="K33" s="18" t="s">
        <v>90</v>
      </c>
    </row>
    <row r="34" spans="1:12" ht="103.5" customHeight="1" x14ac:dyDescent="0.35">
      <c r="A34" s="31" t="s">
        <v>96</v>
      </c>
      <c r="B34" s="15" t="s">
        <v>97</v>
      </c>
      <c r="C34" s="15" t="s">
        <v>98</v>
      </c>
      <c r="D34" s="15" t="s">
        <v>99</v>
      </c>
      <c r="E34" s="16">
        <v>0.08</v>
      </c>
      <c r="F34" s="16">
        <v>0.08</v>
      </c>
      <c r="G34" s="16">
        <v>0.155</v>
      </c>
      <c r="H34" s="16">
        <f>15.5/20</f>
        <v>0.77500000000000002</v>
      </c>
      <c r="I34" s="16">
        <f>(15.5/20)</f>
        <v>0.77500000000000002</v>
      </c>
      <c r="J34" s="41" t="s">
        <v>85</v>
      </c>
      <c r="K34" s="18" t="s">
        <v>90</v>
      </c>
    </row>
    <row r="35" spans="1:12" ht="99" customHeight="1" x14ac:dyDescent="0.35">
      <c r="A35" s="31" t="s">
        <v>100</v>
      </c>
      <c r="B35" s="15" t="s">
        <v>87</v>
      </c>
      <c r="C35" s="18" t="s">
        <v>95</v>
      </c>
      <c r="D35" s="15" t="s">
        <v>93</v>
      </c>
      <c r="E35" s="16">
        <v>0</v>
      </c>
      <c r="F35" s="16">
        <v>0</v>
      </c>
      <c r="G35" s="16">
        <v>0</v>
      </c>
      <c r="H35" s="16">
        <f>0/7</f>
        <v>0</v>
      </c>
      <c r="I35" s="17">
        <f>(0/7)*100</f>
        <v>0</v>
      </c>
      <c r="J35" s="38" t="s">
        <v>33</v>
      </c>
      <c r="K35" s="18" t="s">
        <v>90</v>
      </c>
    </row>
    <row r="36" spans="1:12" ht="204" customHeight="1" x14ac:dyDescent="0.35">
      <c r="A36" s="32" t="s">
        <v>101</v>
      </c>
      <c r="B36" s="22" t="s">
        <v>102</v>
      </c>
      <c r="C36" s="25" t="s">
        <v>103</v>
      </c>
      <c r="D36" s="23" t="s">
        <v>104</v>
      </c>
      <c r="E36" s="16">
        <v>0</v>
      </c>
      <c r="F36" s="16">
        <v>0.33329999999999999</v>
      </c>
      <c r="G36" s="16">
        <v>0.41670000000000001</v>
      </c>
      <c r="H36" s="33">
        <f>41.67/50</f>
        <v>0.83340000000000003</v>
      </c>
      <c r="I36" s="33">
        <f>41.67/50</f>
        <v>0.83340000000000003</v>
      </c>
      <c r="J36" s="41" t="s">
        <v>85</v>
      </c>
      <c r="K36" s="15" t="s">
        <v>105</v>
      </c>
    </row>
    <row r="37" spans="1:12" ht="234.75" customHeight="1" x14ac:dyDescent="0.35">
      <c r="A37" s="32" t="s">
        <v>101</v>
      </c>
      <c r="B37" s="22" t="s">
        <v>106</v>
      </c>
      <c r="C37" s="23" t="s">
        <v>107</v>
      </c>
      <c r="D37" s="23" t="s">
        <v>108</v>
      </c>
      <c r="E37" s="16" t="s">
        <v>109</v>
      </c>
      <c r="F37" s="16" t="s">
        <v>110</v>
      </c>
      <c r="G37" s="16">
        <v>0.1236</v>
      </c>
      <c r="H37" s="16">
        <f>12.36/10</f>
        <v>1.236</v>
      </c>
      <c r="I37" s="16">
        <f>12.36/10</f>
        <v>1.236</v>
      </c>
      <c r="J37" s="36" t="s">
        <v>27</v>
      </c>
      <c r="K37" s="15" t="s">
        <v>72</v>
      </c>
    </row>
    <row r="38" spans="1:12" ht="114" customHeight="1" x14ac:dyDescent="0.35">
      <c r="A38" s="31" t="s">
        <v>111</v>
      </c>
      <c r="B38" s="15" t="s">
        <v>112</v>
      </c>
      <c r="C38" s="18">
        <v>0</v>
      </c>
      <c r="D38" s="15" t="s">
        <v>113</v>
      </c>
      <c r="E38" s="21">
        <v>0</v>
      </c>
      <c r="F38" s="21">
        <v>0</v>
      </c>
      <c r="G38" s="21">
        <v>0</v>
      </c>
      <c r="H38" s="16">
        <f>0/3.5</f>
        <v>0</v>
      </c>
      <c r="I38" s="17">
        <f>(0/3.5)*100</f>
        <v>0</v>
      </c>
      <c r="J38" s="38" t="s">
        <v>33</v>
      </c>
      <c r="K38" s="18" t="s">
        <v>114</v>
      </c>
    </row>
    <row r="39" spans="1:12" ht="204" customHeight="1" x14ac:dyDescent="0.35">
      <c r="A39" s="31" t="s">
        <v>111</v>
      </c>
      <c r="B39" s="15" t="s">
        <v>115</v>
      </c>
      <c r="C39" s="18">
        <v>0</v>
      </c>
      <c r="D39" s="15" t="s">
        <v>113</v>
      </c>
      <c r="E39" s="21" t="s">
        <v>116</v>
      </c>
      <c r="F39" s="21">
        <v>0</v>
      </c>
      <c r="G39" s="21">
        <v>0</v>
      </c>
      <c r="H39" s="16">
        <f t="shared" ref="H39:H40" si="0">0/3.5</f>
        <v>0</v>
      </c>
      <c r="I39" s="17">
        <f t="shared" ref="I39:I40" si="1">(0/3.5)*100</f>
        <v>0</v>
      </c>
      <c r="J39" s="38" t="s">
        <v>33</v>
      </c>
      <c r="K39" s="18" t="s">
        <v>114</v>
      </c>
    </row>
    <row r="40" spans="1:12" ht="189" customHeight="1" x14ac:dyDescent="0.35">
      <c r="A40" s="31" t="s">
        <v>111</v>
      </c>
      <c r="B40" s="15" t="s">
        <v>117</v>
      </c>
      <c r="C40" s="18">
        <v>0</v>
      </c>
      <c r="D40" s="15" t="s">
        <v>113</v>
      </c>
      <c r="E40" s="21" t="s">
        <v>116</v>
      </c>
      <c r="F40" s="21">
        <v>0</v>
      </c>
      <c r="G40" s="21">
        <v>0</v>
      </c>
      <c r="H40" s="16">
        <f t="shared" si="0"/>
        <v>0</v>
      </c>
      <c r="I40" s="17">
        <f t="shared" si="1"/>
        <v>0</v>
      </c>
      <c r="J40" s="38" t="s">
        <v>33</v>
      </c>
      <c r="K40" s="18" t="s">
        <v>114</v>
      </c>
    </row>
    <row r="41" spans="1:12" ht="241.5" customHeight="1" x14ac:dyDescent="0.35">
      <c r="A41" s="31" t="s">
        <v>118</v>
      </c>
      <c r="B41" s="15" t="s">
        <v>119</v>
      </c>
      <c r="C41" s="18" t="s">
        <v>120</v>
      </c>
      <c r="D41" s="15" t="s">
        <v>121</v>
      </c>
      <c r="E41" s="16">
        <v>0.20619999999999999</v>
      </c>
      <c r="F41" s="16">
        <v>0.2306</v>
      </c>
      <c r="G41" s="16">
        <v>0.31709999999999999</v>
      </c>
      <c r="H41" s="16">
        <f>31.71/58.8</f>
        <v>0.53928571428571437</v>
      </c>
      <c r="I41" s="16">
        <f>(31.71-14.97)/(58.8-14.97)</f>
        <v>0.38193018480492819</v>
      </c>
      <c r="J41" s="38" t="s">
        <v>33</v>
      </c>
      <c r="K41" s="18" t="s">
        <v>114</v>
      </c>
    </row>
    <row r="42" spans="1:12" ht="198" customHeight="1" x14ac:dyDescent="0.35">
      <c r="A42" s="32" t="s">
        <v>122</v>
      </c>
      <c r="B42" s="22" t="s">
        <v>123</v>
      </c>
      <c r="C42" s="22" t="s">
        <v>124</v>
      </c>
      <c r="D42" s="22" t="s">
        <v>125</v>
      </c>
      <c r="E42" s="16">
        <v>0.49359999999999998</v>
      </c>
      <c r="F42" s="16">
        <v>0.52859999999999996</v>
      </c>
      <c r="G42" s="16">
        <v>0.59430000000000005</v>
      </c>
      <c r="H42" s="16">
        <f>59.43/100</f>
        <v>0.59430000000000005</v>
      </c>
      <c r="I42" s="16">
        <f>((59.43-27.8)/(100-27.8))</f>
        <v>0.43808864265927977</v>
      </c>
      <c r="J42" s="38" t="s">
        <v>33</v>
      </c>
      <c r="K42" s="15" t="s">
        <v>114</v>
      </c>
    </row>
    <row r="44" spans="1:12" ht="53.5" customHeight="1" x14ac:dyDescent="0.35">
      <c r="A44" s="66" t="s">
        <v>126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5" spans="1:12" ht="17.149999999999999" customHeight="1" x14ac:dyDescent="0.4">
      <c r="A45" s="8" t="s">
        <v>127</v>
      </c>
      <c r="B45" s="67" t="s">
        <v>128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</row>
    <row r="46" spans="1:12" ht="17.149999999999999" customHeight="1" x14ac:dyDescent="0.4">
      <c r="A46" s="9"/>
      <c r="B46" s="13"/>
      <c r="C46" s="9"/>
      <c r="D46" s="9"/>
      <c r="E46" s="9"/>
      <c r="F46" s="9"/>
      <c r="G46" s="9"/>
      <c r="H46" s="9"/>
      <c r="I46" s="9"/>
      <c r="J46" s="9"/>
      <c r="K46" s="9"/>
    </row>
    <row r="47" spans="1:12" ht="17.149999999999999" customHeight="1" x14ac:dyDescent="0.4">
      <c r="A47" s="10" t="s">
        <v>129</v>
      </c>
      <c r="B47" s="67" t="s">
        <v>130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</row>
    <row r="48" spans="1:12" ht="17.149999999999999" customHeight="1" x14ac:dyDescent="0.4">
      <c r="A48" s="9"/>
      <c r="B48" s="13"/>
      <c r="C48" s="9"/>
      <c r="D48" s="9"/>
      <c r="E48" s="9"/>
      <c r="F48" s="9"/>
      <c r="G48" s="9"/>
      <c r="H48" s="9"/>
      <c r="I48" s="9"/>
      <c r="J48" s="9"/>
      <c r="K48" s="9"/>
    </row>
    <row r="49" spans="1:12" ht="17.149999999999999" customHeight="1" x14ac:dyDescent="0.4">
      <c r="A49" s="11" t="s">
        <v>131</v>
      </c>
      <c r="B49" s="64" t="s">
        <v>132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1:12" ht="15.65" customHeight="1" x14ac:dyDescent="0.35">
      <c r="A50" s="14"/>
      <c r="B50" s="24"/>
      <c r="C50" s="14"/>
      <c r="D50" s="14"/>
      <c r="E50" s="14"/>
      <c r="F50" s="14"/>
      <c r="G50" s="14"/>
      <c r="H50" s="14"/>
      <c r="I50" s="14"/>
      <c r="J50" s="14"/>
      <c r="K50" s="14"/>
    </row>
  </sheetData>
  <mergeCells count="6">
    <mergeCell ref="B49:L49"/>
    <mergeCell ref="A2:K2"/>
    <mergeCell ref="A3:K3"/>
    <mergeCell ref="A44:L44"/>
    <mergeCell ref="B45:L45"/>
    <mergeCell ref="B47:L47"/>
  </mergeCells>
  <hyperlinks>
    <hyperlink ref="D16" location="_ftn1" display="_ftn1" xr:uid="{00000000-0004-0000-0100-000000000000}"/>
  </hyperlinks>
  <pageMargins left="0.70866141732283472" right="0.70866141732283472" top="0.74803149606299213" bottom="0.74803149606299213" header="0.31496062992125984" footer="0.31496062992125984"/>
  <pageSetup scale="41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Metas  Segto Anual  2025</vt:lpstr>
      <vt:lpstr>'Metas  Segto Anual  2025'!Área_de_impresión</vt:lpstr>
      <vt:lpstr>'Metas  Segto Anual 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Cristina Monge Sibaja</dc:creator>
  <cp:keywords/>
  <dc:description/>
  <cp:lastModifiedBy>Laura Cristina Monge Sibaja</cp:lastModifiedBy>
  <cp:revision/>
  <dcterms:created xsi:type="dcterms:W3CDTF">2022-12-07T16:42:02Z</dcterms:created>
  <dcterms:modified xsi:type="dcterms:W3CDTF">2026-02-04T18:33:27Z</dcterms:modified>
  <cp:category/>
  <cp:contentStatus/>
</cp:coreProperties>
</file>