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defaultThemeVersion="166925"/>
  <mc:AlternateContent xmlns:mc="http://schemas.openxmlformats.org/markup-compatibility/2006">
    <mc:Choice Requires="x15">
      <x15ac:absPath xmlns:x15ac="http://schemas.microsoft.com/office/spreadsheetml/2010/11/ac" url="https://moptgocr-my.sharepoint.com/personal/laura_monge_mopt_go_cr/Documents/PNDIP 2023 2026/Seguimiento Anual 2023 PNDIP/Presentación Sgto Anual 2023/Para Página Web anual 2023/"/>
    </mc:Choice>
  </mc:AlternateContent>
  <xr:revisionPtr revIDLastSave="0" documentId="8_{ADF1CBD0-7247-44DB-88FB-FF91F05256D8}" xr6:coauthVersionLast="47" xr6:coauthVersionMax="47" xr10:uidLastSave="{00000000-0000-0000-0000-000000000000}"/>
  <bookViews>
    <workbookView xWindow="-24120" yWindow="-120" windowWidth="24240" windowHeight="13020" xr2:uid="{00000000-000D-0000-FFFF-FFFF00000000}"/>
  </bookViews>
  <sheets>
    <sheet name="Int. Púb. Sg. Anual 2023"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 l="1"/>
  <c r="H23" i="2"/>
  <c r="I18" i="2"/>
  <c r="H18" i="2"/>
  <c r="I17" i="2" l="1"/>
  <c r="H17" i="2"/>
  <c r="I33" i="2" l="1"/>
  <c r="H33" i="2"/>
  <c r="I32" i="2" l="1"/>
  <c r="H32" i="2"/>
  <c r="I29" i="2"/>
  <c r="H29" i="2"/>
  <c r="H24" i="2"/>
  <c r="I25" i="2" l="1"/>
  <c r="H25" i="2"/>
  <c r="I24" i="2"/>
  <c r="H39" i="2"/>
  <c r="I39" i="2"/>
  <c r="H34" i="2"/>
  <c r="I34" i="2"/>
  <c r="I28" i="2"/>
  <c r="H26" i="2"/>
  <c r="H28" i="2"/>
  <c r="I40" i="2"/>
  <c r="H40" i="2"/>
  <c r="H19" i="2"/>
  <c r="I16" i="2"/>
  <c r="H16" i="2"/>
  <c r="I31" i="2"/>
  <c r="H31" i="2"/>
  <c r="I30" i="2"/>
  <c r="H30" i="2"/>
  <c r="I38" i="2"/>
  <c r="I37" i="2"/>
  <c r="I36" i="2"/>
  <c r="I35" i="2"/>
  <c r="I27" i="2"/>
  <c r="H22" i="2"/>
  <c r="I22" i="2"/>
  <c r="I20" i="2"/>
  <c r="H20" i="2"/>
</calcChain>
</file>

<file path=xl/sharedStrings.xml><?xml version="1.0" encoding="utf-8"?>
<sst xmlns="http://schemas.openxmlformats.org/spreadsheetml/2006/main" count="212" uniqueCount="167">
  <si>
    <t>SEGUIMIENTO ANUAL  2023-2026</t>
  </si>
  <si>
    <t>Sector Obras Públicas y Transportes</t>
  </si>
  <si>
    <t xml:space="preserve">Metas Sectoriales </t>
  </si>
  <si>
    <t xml:space="preserve">Objetivo Sectorial </t>
  </si>
  <si>
    <t>Indicador</t>
  </si>
  <si>
    <t>Línea Base</t>
  </si>
  <si>
    <t>Meta 2023</t>
  </si>
  <si>
    <t xml:space="preserve">Avance de la meta </t>
  </si>
  <si>
    <t xml:space="preserve">Porcentaje  de cumplimiento de meta </t>
  </si>
  <si>
    <t>Clasificación</t>
  </si>
  <si>
    <t xml:space="preserve">Observaciones </t>
  </si>
  <si>
    <t>A. Disminuir las defunciones por accidente de tránsito implementando acciones de movilidad y seguridad vial.</t>
  </si>
  <si>
    <t>Cantidad de muertes por accidentes de tránsito en el país</t>
  </si>
  <si>
    <t xml:space="preserve">2019: 802 </t>
  </si>
  <si>
    <r>
      <rPr>
        <b/>
        <sz val="20"/>
        <rFont val="Calibri"/>
        <family val="2"/>
        <scheme val="minor"/>
      </rPr>
      <t>NDI</t>
    </r>
    <r>
      <rPr>
        <sz val="20"/>
        <rFont val="Calibri"/>
        <family val="2"/>
        <scheme val="minor"/>
      </rPr>
      <t xml:space="preserve"> oficial del INEC, ni la preliminar que la Dirección General de Policía de Tránsito genera.</t>
    </r>
  </si>
  <si>
    <t>NDI</t>
  </si>
  <si>
    <t xml:space="preserve">No se dispone información </t>
  </si>
  <si>
    <t xml:space="preserve"> La fuente de información es el Instituto Nacional de Estadística y Censo y la periodicidad de esta información es anual, más específicamente, aproximadamente un año después de terminado el periodo en estudio, que es cuando el INEC finaliza con el proceso de publicación de la información oficial. Además,  debido a la situación y las medidas de contingencia tomadas en la administración por el ataque cibernético y la afectación de los sistemas informáticos recibida en el MOPT, no se ha podido consultar la información al sistema SIOP para elaborar las estadísticas de personas fallecidas en sitio desde el mes de enero del 2023 y su respectiva publicación. Dada la situación anterior, hasta que se informe el restablecimiento del sistema y hasta que estén ingresados el acumulado de fallecidos, se podría realizar una estimación. No se cuenta con otra fuente de datos para poder realizarla.</t>
  </si>
  <si>
    <t>B. Disminuir el tiempo de viaje en la Red Vial Nacional, mediante la mejora de la capacidad de la red de carreteras.</t>
  </si>
  <si>
    <t>Tiempo de viaje en la Red Vial Nacional</t>
  </si>
  <si>
    <t>2022: 3,73 min</t>
  </si>
  <si>
    <t>Cumplimiento 
Bajo</t>
  </si>
  <si>
    <t>El tiempo de viaje promedio es mayor al planteado, dado que al existir deterioro en la red vial o circunstancias puntuales debido a la ejecución de obras, la velocidad de viaje disminuye y por lo tanto el tiempo de viaje aumenta.
Dados problemas de mantenimiento que se han tenido para los radares de medición, con el paso de los años algunas han ido saliendo de funcionamiento, lo cual implica faltantes de mediciones.
Se espera que las intervenciones y obras que se están realizando actualmente, mejoren el tiempo de viaje en las rutas intervenidas.
Es necesaria la disponibilidad de recursos para el mantenimiento de equipos de medición.</t>
  </si>
  <si>
    <t>C. Aumentar la productividad de los puertos del país, mediante la disminución del tiempo promedio de atraque de los buques.</t>
  </si>
  <si>
    <t>Tiempo promedio de atraque de los buques en puertos.</t>
  </si>
  <si>
    <t>2019: 29,56</t>
  </si>
  <si>
    <t>Entre el año de la línea base y el actual ha habido muchas variaciones, por lo que 2022 y 2023 tienen tiempos mayores a 2019.
En los datos reportados para 2023 para los puertos de Limón/Moín, se incluyeron tiempos de servicios que no se reportaron en 2022: Petrolero y Tanquero-Gasolina y en el caso de Limón, se incluyó también el de Granel sólido. Esto hace que los promedios reportados sean mayores a años anteriores.
Existe una mejora en algunos tiempos según el tipo de embarcación/servicio, también se presenta una mejoría en los tiempos promedio de uno de los puertos (Puerto Caldera).</t>
  </si>
  <si>
    <t>E. Aumentar el volumen de pasajeros que se transportan en el medio aéreo, mediante el aumento en el porcentaje de variación del volumen de pasajeros</t>
  </si>
  <si>
    <t>Porcentaje de variación del volumen de pasajeros de un año con respecto al anterior (Incluye vuelos nacionales e internacionales)</t>
  </si>
  <si>
    <t>2019: 5,5%</t>
  </si>
  <si>
    <t>Cumplimiento
 Bajo</t>
  </si>
  <si>
    <t xml:space="preserve"> Al a fecha de realización del reporte, se cuenta solamente con datos parciales, con información al 2022, ya que la Dirección General de Aviación Civil aún no cuenta con los informes referentes a las estadísticas de pasajeros.
Por lo que se espera que al Primer seguimiento del 2024 actualizar los datos de pasajeros al año 2023.
La Concesionaria del Aeropuerto Internacional Juan Santamaría Aeris Holding Costa Rica, ha emitido un comunicado de prensa el 10 de enero del 2024, sobre los pasajeros movilizados por esta terminal aérea durante el año 2023, considerando como datos preliminares un total de 5.682.476 pasajeros</t>
  </si>
  <si>
    <t>Metas Institucionales</t>
  </si>
  <si>
    <t>Intervención Pública</t>
  </si>
  <si>
    <t>Línea base</t>
  </si>
  <si>
    <t>Meta Anual</t>
  </si>
  <si>
    <t>Avance I semestre
2023</t>
  </si>
  <si>
    <t>Avance III Trimestre
2023</t>
  </si>
  <si>
    <t>Avance acumulado  Anual 2023</t>
  </si>
  <si>
    <t>Porcentaje  de avance
(con respecto a la meta acumulada)*</t>
  </si>
  <si>
    <t>Porcentaje de avance metodología MIDEPLAN**</t>
  </si>
  <si>
    <t>Clasificación *</t>
  </si>
  <si>
    <t>Responsable</t>
  </si>
  <si>
    <t>1) 001546 Rehabilitación y ampliación a 4 carriles de la Ruta Nacional 32, sección: intersección con la Ruta Nacional 4-Limón por parte del CONAVI.</t>
  </si>
  <si>
    <t>AB1.Porcentaje acumulado de avance de obra.</t>
  </si>
  <si>
    <t xml:space="preserve">2021: 50,97%
Región: Huetar Caribe
</t>
  </si>
  <si>
    <t xml:space="preserve">2023: 90% 
</t>
  </si>
  <si>
    <t>Cumplimiento Medio</t>
  </si>
  <si>
    <t xml:space="preserve">CONAVI
Unidad Ejecutora RN No. 32
</t>
  </si>
  <si>
    <t>2) 002172 Ampliación y Mejoramiento del Corredor Vial San José – San Ramón.</t>
  </si>
  <si>
    <t>AB1.Porcentaje acumulado de avance de etapas</t>
  </si>
  <si>
    <t xml:space="preserve">2021: 12,88% 
Región: Central
</t>
  </si>
  <si>
    <t xml:space="preserve">2023: 29,75% 
</t>
  </si>
  <si>
    <t>Cumplimiento Bajo</t>
  </si>
  <si>
    <t xml:space="preserve">Consejo Nacional de
Vialidad.
Unidad Ejecutora San José - San Ramón
</t>
  </si>
  <si>
    <t>3) 002700 Rehabilitación del puente sobre el Río Virilla en la Ruta Nacional  No. 32.</t>
  </si>
  <si>
    <t xml:space="preserve">2021: 7%
Región Central
</t>
  </si>
  <si>
    <t xml:space="preserve">2023: 55%  
(25% financiamiento, diseño, licitación, 30% ejecución). 
</t>
  </si>
  <si>
    <t>Cumplimiento Alto</t>
  </si>
  <si>
    <t xml:space="preserve">Consejo Nacional de
Vialidad.
Unidad Ejecutora BCIE
</t>
  </si>
  <si>
    <t>4)  001197 Estudios, diseños y construcción de la Ruta Nacional  39 (Circunvalación Norte), sección Uruca (Ruta Nacional  108)-Calle Blancos (ent. Ruta Nacional Nº 109). Unidad funcional V.</t>
  </si>
  <si>
    <r>
      <t xml:space="preserve">2021: </t>
    </r>
    <r>
      <rPr>
        <sz val="13"/>
        <color rgb="FF0070C0"/>
        <rFont val="Calibri"/>
        <family val="2"/>
        <scheme val="minor"/>
      </rPr>
      <t>69%</t>
    </r>
    <r>
      <rPr>
        <sz val="13"/>
        <color theme="1"/>
        <rFont val="Calibri"/>
        <family val="2"/>
        <scheme val="minor"/>
      </rPr>
      <t xml:space="preserve">
Región Central 
</t>
    </r>
  </si>
  <si>
    <t xml:space="preserve">2023: 100%
</t>
  </si>
  <si>
    <t>5) Programa de puentes en la red vial nacional.</t>
  </si>
  <si>
    <t>AB1.Cantidad acumulado de puentes</t>
  </si>
  <si>
    <t>2021:20</t>
  </si>
  <si>
    <t xml:space="preserve">2023: 2 
</t>
  </si>
  <si>
    <t xml:space="preserve">Consejo Nacional de
Vialidad.
Gerencia de Construcción de Vías y Puentes. 
</t>
  </si>
  <si>
    <t>6) Diseño y construcción del proyecto Ciudad Gobierno.</t>
  </si>
  <si>
    <t>B1. Porcentaje acumulado de avance de etapa del proyecto</t>
  </si>
  <si>
    <t>2021: 3% (perfil y prefactibilidad) Región Central</t>
  </si>
  <si>
    <t xml:space="preserve">2023: 12% 
(diseño final) 
</t>
  </si>
  <si>
    <t xml:space="preserve">Comisión Ciudad Gobierno 
MIVAH -Coordinador 
Mideplan
HACIENDA
MOPT
Justicia y Paz
</t>
  </si>
  <si>
    <t>8) Corredor Vial Ruta Nacional número 2 San José – Cartago</t>
  </si>
  <si>
    <t xml:space="preserve">ABD.1
Porcentaje acumulado de avance de las etapas del proyecto
</t>
  </si>
  <si>
    <t xml:space="preserve">2021: 3 %
Región central
</t>
  </si>
  <si>
    <t xml:space="preserve">2023: 7% (Factibilidad)    
</t>
  </si>
  <si>
    <t xml:space="preserve">Consejo Nacional de Concesiones
Área de Proyectos en Desarrollo
</t>
  </si>
  <si>
    <t>9) 002649 Construcción  de la Marina  y Terminal de cruceros en Puerto Limón, Costa Rica.</t>
  </si>
  <si>
    <t xml:space="preserve">C1.Porcentaje acumulado de avance de etapa del proyecto </t>
  </si>
  <si>
    <t>2021: 3% (Perfil y Prefactibilidad)</t>
  </si>
  <si>
    <t xml:space="preserve">2023: 15% 
(5% Licitación, adjudicación y 3% financiamiento)
</t>
  </si>
  <si>
    <t>JAPDEVA</t>
  </si>
  <si>
    <t>11) Reforzamiento y rehabilitación del puente de acceso de la terminal Puntarenas por INCOP</t>
  </si>
  <si>
    <t xml:space="preserve">C1.Porcentaje acumulado de
avance de etapa
</t>
  </si>
  <si>
    <t xml:space="preserve">2021: 12% 
Región: Pacifico Central
</t>
  </si>
  <si>
    <t xml:space="preserve">2023: 55% (3%financiamiento, 5%licitación y adjudicación, 5% Pre-ejecución Y 30% ejecución)
</t>
  </si>
  <si>
    <t xml:space="preserve">INCOP
Dirección de Operaciones Portuarias
Departamento  Muelle de Puntarenas
</t>
  </si>
  <si>
    <t xml:space="preserve">12) Desarrollo y Modernización de Puerto Caldera según el Plan Maestro Portuario del Litoral Pacífico </t>
  </si>
  <si>
    <t xml:space="preserve">2022: 1% (perfil)
Región: Pacifico Central
</t>
  </si>
  <si>
    <t xml:space="preserve">2023: 7% (2%prefactbilidad, 4%Factibilidad)
</t>
  </si>
  <si>
    <t xml:space="preserve">INCOP
Unidad Técnica de Supervisión y Control de Concesiones
</t>
  </si>
  <si>
    <t xml:space="preserve">13) 002646 Rehabilitación y Construcción del Tren Eléctrico Limonense de Carga bajo la responsabilidad del INCOFER (TELCA). </t>
  </si>
  <si>
    <t>A1.Porcentaje acumulado de avance de etapas del proyecto</t>
  </si>
  <si>
    <t xml:space="preserve">2021: 7%
Región Huetar Caribe y Huetar Norte
</t>
  </si>
  <si>
    <t xml:space="preserve">2023: 18% 
(5% Diseño Final, 3% financiamiento, 3% Licitación y Adjudicación) 
</t>
  </si>
  <si>
    <t>Incofer, unidad ejecutora  Tren Eléctrico de Carga (TELCA)</t>
  </si>
  <si>
    <t>14) 002788 Reconstrucción de la vía y restablecimiento del servicio ferroviario entre Puntarenas y Alajuela (TPC)</t>
  </si>
  <si>
    <t>A1.Porcentaje acumulado de avance de etapa del proyecto</t>
  </si>
  <si>
    <t xml:space="preserve">2021: 0% 
Región Central y Pacífico Central
</t>
  </si>
  <si>
    <t xml:space="preserve">2023: 3% 
(1% perfil, 2% Etapa de prefactibilidad)
</t>
  </si>
  <si>
    <t>Incofer, unidad ejecutora  Tren Pacífico Central (TPC)</t>
  </si>
  <si>
    <t>15) 002192 Construcción, equipamiento y puesta en operación de un sistema de Tren Rápido de Pasajeros (TRP) en la Gran Área Metropolitana (GAM).</t>
  </si>
  <si>
    <t xml:space="preserve">2021: 3%
Región Central
</t>
  </si>
  <si>
    <t xml:space="preserve">2023: 23% 
(4% factibilidad, 5% diseño, 3% financiamiento, 4% Licitación y Adjudicación, 4% Pre Ejecución de Línea 1) 
</t>
  </si>
  <si>
    <t>Incofer, Unidad ejecutora Tren Rápido de Pasajeros (TRP)</t>
  </si>
  <si>
    <t>16) Construcción de obras Carretera San Carlos, Sección Bernardo Soto-Florencia</t>
  </si>
  <si>
    <t xml:space="preserve">ABD.1
Porcentaje acumulado de avance de etapas del proyecto
</t>
  </si>
  <si>
    <t>2021: 1%</t>
  </si>
  <si>
    <t xml:space="preserve">2023: 15% (2% Prefactibilidad, 4% Factibilidad, 3% Financiamiento, 5% Licitación y adjudicación)                                                                                                                                                               </t>
  </si>
  <si>
    <t xml:space="preserve">No se presentó información por la Unidad Asesora </t>
  </si>
  <si>
    <t xml:space="preserve">Transportes.
Comité de Administración y Supervisión (CAS)
Unidad Asesora al CAS
</t>
  </si>
  <si>
    <t>17) 002699 Construcción de los Intercambios Viales en La Lima y Taras, y ampliación y mejoramiento de la sección entre los intercambios, Ruta Nacional N°2, Cartago, MOPT</t>
  </si>
  <si>
    <t xml:space="preserve">ABD.1
Porcentaje acumulado de avance de obra.
</t>
  </si>
  <si>
    <t>2022: 9,15%</t>
  </si>
  <si>
    <t xml:space="preserve">2023: 90% (Ejecución de Obra)                                                                                                                                                              </t>
  </si>
  <si>
    <t xml:space="preserve">Ministerio de Obras Públicas y Transportes.
Comité de Administración y Supervisión (CAS)
Unidad Asesora al CAS
</t>
  </si>
  <si>
    <t>18) 001686 Rehabilitación y ampliación a cuatro carriles de la Ruta Nacional N°1 “Interamericana Norte”, sección: Barranca – Cañas</t>
  </si>
  <si>
    <t xml:space="preserve">ABD.1
Porcentaje acumulado de avance de obra
</t>
  </si>
  <si>
    <t>2021: 44,37%</t>
  </si>
  <si>
    <t xml:space="preserve">2023: 99%
</t>
  </si>
  <si>
    <t>19) 002484 Segundo Programa de la Red Vial Cantonal</t>
  </si>
  <si>
    <t xml:space="preserve">ABD.1
Número acumulado de kilómetros rehabilitados de la Red Vial Cantonal.
</t>
  </si>
  <si>
    <t>2021: 143.8 km</t>
  </si>
  <si>
    <t xml:space="preserve">2023: 344,61 km
</t>
  </si>
  <si>
    <t>232,76 km</t>
  </si>
  <si>
    <t xml:space="preserve">234,76 km </t>
  </si>
  <si>
    <t xml:space="preserve">Ministerio de Obras Públicas y Transporte
Director de la División de Obras Públicas y el Gerente de la Unidad Ejecutora MOPT-BID
</t>
  </si>
  <si>
    <t>20) 002484 Segundo Programa de la Red Vial Cantonal</t>
  </si>
  <si>
    <t xml:space="preserve">ABD.1
Número acumulado de puentes intervenidos en la red vial cantonal
</t>
  </si>
  <si>
    <t>2021:0</t>
  </si>
  <si>
    <t xml:space="preserve">2023: 14 
</t>
  </si>
  <si>
    <t>3 puentes</t>
  </si>
  <si>
    <t>5 puentes</t>
  </si>
  <si>
    <t>21) 002786 Construcción y ampliación de la pista, área de maniobras y obras conexas del Aeropuerto Internacional Daniel Oduber Quirós</t>
  </si>
  <si>
    <t xml:space="preserve">E1.Porcentaje acumulado de
avance de las  etapas del proyecto
</t>
  </si>
  <si>
    <t xml:space="preserve">2021: 12%
Región Chorotega
</t>
  </si>
  <si>
    <t xml:space="preserve">2023: 20%
(Financiamiento 3%, Licitación y adjudicación 5%)
</t>
  </si>
  <si>
    <t xml:space="preserve">CETAC - DGAC
Unidad de Infraestructura Aeronáutica
</t>
  </si>
  <si>
    <t>22) Construcción de la terminal de carga del Aeropuerto Internacional Daniel Oduber Quirós</t>
  </si>
  <si>
    <t>2021:0%</t>
  </si>
  <si>
    <t xml:space="preserve">2023: 3% 
(1% Perfil, 2% Prefactibilidad)
</t>
  </si>
  <si>
    <t>23) Ampliación del Aeropuerto Internacional de Limón</t>
  </si>
  <si>
    <t>2021: 0%</t>
  </si>
  <si>
    <t>24) 001172 Mejoramiento del Aeródromo La Managua, Quepos.</t>
  </si>
  <si>
    <t xml:space="preserve">E1.Porcentaje acumulado de
avance  de obra
</t>
  </si>
  <si>
    <t xml:space="preserve">2021: 0%
Región Pacífico Central
</t>
  </si>
  <si>
    <t xml:space="preserve">2023: 25%
</t>
  </si>
  <si>
    <t>25) 001391 Construcción del Aeropuerto Internacional de la Zona Sur</t>
  </si>
  <si>
    <t>9) Programa de Saneamiento</t>
  </si>
  <si>
    <t>C12. Porcentaje de avance de las etapas del proyecto Ampliación y mejoramiento del sistema de alcantarillado sanitario de la Ciudad de Limón. 
R. Huetar Caribe
(Cod. 01233)</t>
  </si>
  <si>
    <t>14.97% </t>
  </si>
  <si>
    <t xml:space="preserve">2023: 29.3%  Sector I: Construcción; 
</t>
  </si>
  <si>
    <t xml:space="preserve">Instituto Costarricense de Acueductos y Alcantarillados
Unidad Ejecutora Portafolio de Inversiones AyA-BCIE
</t>
  </si>
  <si>
    <t>5(Plan Nacional de Adaptación al Cambio Climático</t>
  </si>
  <si>
    <t>C20. Porcentaje de avance de las etapas del proyecto
Reducción de Agua no contabilizada.
Cod. 1224</t>
  </si>
  <si>
    <t>27.8%</t>
  </si>
  <si>
    <t xml:space="preserve">2023: 50% 
</t>
  </si>
  <si>
    <t>Instituto Costarricense de Acueductos y Alcantarillados- 
Unidad Ejecutora Portafolio de Inversiones AyA-BCIE </t>
  </si>
  <si>
    <r>
      <rPr>
        <b/>
        <sz val="12"/>
        <color theme="1"/>
        <rFont val="Calibri"/>
        <family val="2"/>
        <scheme val="minor"/>
      </rPr>
      <t>Notas:</t>
    </r>
    <r>
      <rPr>
        <sz val="12"/>
        <color theme="1"/>
        <rFont val="Calibri"/>
        <family val="2"/>
        <scheme val="minor"/>
      </rPr>
      <t xml:space="preserve"> : *El porcentaje de avance se calcula: el  resultado acumulado de la meta con respecto a la programación anual (regla de tres).</t>
    </r>
    <r>
      <rPr>
        <b/>
        <sz val="12"/>
        <color theme="1"/>
        <rFont val="Calibri"/>
        <family val="2"/>
        <scheme val="minor"/>
      </rPr>
      <t xml:space="preserve">
**</t>
    </r>
    <r>
      <rPr>
        <sz val="12"/>
        <color theme="1"/>
        <rFont val="Calibri"/>
        <family val="2"/>
        <scheme val="minor"/>
      </rPr>
      <t>Las instituciones deben determinar el grado de avance de las metas de 
intervenciones públicas considerando los siguientes criterios de semaforización y el Anexo N°2 Categorización de Indicadores. (Lineamiento Metodológico - Insumos para elaborar el seguimiento del Plan Nacional de Desarrollo y de Inversión Pública (PNDIP) 2023-2026).</t>
    </r>
  </si>
  <si>
    <t>Seguimiento Anual: las instituciones deben indicar el cumplimiento de las metas sectoriales y de intervención pública, en función de la relación entre lo programado y lo ejecutado (porcentaje), de enero a diciembre según
sea el año de análisis.</t>
  </si>
  <si>
    <t xml:space="preserve">Cumplimiento bajo: </t>
  </si>
  <si>
    <t>Cuando el resultado de la meta es menor o igual a 49,99%</t>
  </si>
  <si>
    <t xml:space="preserve">Cumplimiento medio: </t>
  </si>
  <si>
    <t>Cuando el resultado de la meta es menor o igual 89,99% o igual a 50%</t>
  </si>
  <si>
    <t xml:space="preserve">Cumplimiento alto: </t>
  </si>
  <si>
    <t>Cuando el resultado anual de la meta es mayor o igual a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</si>
</sst>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0"/>
      <name val="Calibri"/>
      <family val="2"/>
      <scheme val="minor"/>
    </font>
    <font>
      <sz val="9"/>
      <color theme="1"/>
      <name val="Arial Narrow"/>
      <family val="2"/>
    </font>
    <font>
      <u/>
      <sz val="11"/>
      <color theme="10"/>
      <name val="Calibri"/>
      <family val="2"/>
      <scheme val="minor"/>
    </font>
    <font>
      <sz val="12"/>
      <color theme="1"/>
      <name val="Calibri"/>
      <family val="2"/>
      <scheme val="minor"/>
    </font>
    <font>
      <sz val="13"/>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b/>
      <sz val="16"/>
      <name val="Calibri"/>
      <family val="2"/>
      <scheme val="minor"/>
    </font>
    <font>
      <sz val="13"/>
      <name val="Calibri"/>
      <family val="2"/>
      <scheme val="minor"/>
    </font>
    <font>
      <b/>
      <sz val="16"/>
      <color theme="1"/>
      <name val="HendersonSansW00-BasicBold"/>
    </font>
    <font>
      <b/>
      <sz val="14"/>
      <name val="Calibri"/>
      <family val="2"/>
      <scheme val="minor"/>
    </font>
    <font>
      <sz val="11"/>
      <color theme="1"/>
      <name val="Calibri"/>
      <family val="2"/>
      <scheme val="minor"/>
    </font>
    <font>
      <sz val="13"/>
      <color rgb="FF0070C0"/>
      <name val="Calibri"/>
      <family val="2"/>
      <scheme val="minor"/>
    </font>
    <font>
      <b/>
      <sz val="20"/>
      <name val="Calibri"/>
      <family val="2"/>
      <scheme val="minor"/>
    </font>
    <font>
      <sz val="20"/>
      <name val="Baskerville Old Face"/>
      <family val="1"/>
    </font>
    <font>
      <sz val="20"/>
      <color theme="1"/>
      <name val="Calibri"/>
      <family val="2"/>
      <scheme val="minor"/>
    </font>
    <font>
      <sz val="20"/>
      <color theme="1"/>
      <name val="Arial"/>
      <family val="2"/>
    </font>
    <font>
      <sz val="2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7"/>
        <bgColor indexed="64"/>
      </patternFill>
    </fill>
    <fill>
      <patternFill patternType="solid">
        <fgColor theme="7" tint="0.79998168889431442"/>
        <bgColor indexed="64"/>
      </patternFill>
    </fill>
    <fill>
      <patternFill patternType="solid">
        <fgColor rgb="FFF1EC13"/>
        <bgColor indexed="64"/>
      </patternFill>
    </fill>
    <fill>
      <patternFill patternType="solid">
        <fgColor theme="0" tint="-0.249977111117893"/>
        <bgColor indexed="64"/>
      </patternFill>
    </fill>
  </fills>
  <borders count="6">
    <border>
      <left/>
      <right/>
      <top/>
      <bottom/>
      <diagonal/>
    </border>
    <border>
      <left style="thick">
        <color rgb="FFFFFFFF"/>
      </left>
      <right style="thick">
        <color rgb="FFFFFFFF"/>
      </right>
      <top style="thick">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FFFFFF"/>
      </left>
      <right/>
      <top/>
      <bottom/>
      <diagonal/>
    </border>
    <border>
      <left style="thin">
        <color indexed="64"/>
      </left>
      <right/>
      <top/>
      <bottom/>
      <diagonal/>
    </border>
  </borders>
  <cellStyleXfs count="3">
    <xf numFmtId="0" fontId="0" fillId="0" borderId="0"/>
    <xf numFmtId="0" fontId="3" fillId="0" borderId="0" applyNumberFormat="0" applyFill="0" applyBorder="0" applyAlignment="0" applyProtection="0"/>
    <xf numFmtId="9" fontId="13" fillId="0" borderId="0" applyFont="0" applyFill="0" applyBorder="0" applyAlignment="0" applyProtection="0"/>
  </cellStyleXfs>
  <cellXfs count="67">
    <xf numFmtId="0" fontId="0" fillId="0" borderId="0" xfId="0"/>
    <xf numFmtId="0" fontId="1" fillId="0" borderId="0" xfId="0" applyFont="1" applyAlignment="1">
      <alignment horizontal="center" vertical="center"/>
    </xf>
    <xf numFmtId="0" fontId="2" fillId="0" borderId="0" xfId="0" applyFont="1"/>
    <xf numFmtId="0" fontId="5" fillId="0" borderId="2" xfId="0" applyFont="1" applyBorder="1" applyAlignment="1">
      <alignment horizontal="justify" vertical="top" wrapText="1"/>
    </xf>
    <xf numFmtId="0" fontId="5" fillId="0" borderId="2" xfId="0" applyFont="1" applyBorder="1" applyAlignment="1">
      <alignment horizontal="center" vertical="top" wrapText="1"/>
    </xf>
    <xf numFmtId="0" fontId="5" fillId="0" borderId="2" xfId="0" applyFont="1" applyBorder="1" applyAlignment="1">
      <alignment vertical="top" wrapText="1"/>
    </xf>
    <xf numFmtId="0" fontId="5" fillId="0" borderId="2" xfId="0" applyFont="1" applyBorder="1" applyAlignment="1">
      <alignment vertical="top"/>
    </xf>
    <xf numFmtId="49" fontId="5" fillId="0" borderId="2" xfId="0" applyNumberFormat="1" applyFont="1" applyBorder="1" applyAlignment="1">
      <alignment vertical="top"/>
    </xf>
    <xf numFmtId="0" fontId="5" fillId="0" borderId="2" xfId="0" applyFont="1" applyBorder="1" applyAlignment="1">
      <alignment horizontal="justify" vertical="top"/>
    </xf>
    <xf numFmtId="0" fontId="5" fillId="0" borderId="3" xfId="0" applyFont="1" applyBorder="1" applyAlignment="1">
      <alignment vertical="top" wrapText="1"/>
    </xf>
    <xf numFmtId="0" fontId="5" fillId="0" borderId="3" xfId="0" applyFont="1" applyBorder="1" applyAlignment="1">
      <alignment vertical="top"/>
    </xf>
    <xf numFmtId="0" fontId="6" fillId="2" borderId="2" xfId="0" applyFont="1" applyFill="1" applyBorder="1" applyAlignment="1">
      <alignment horizontal="justify" vertical="top" wrapText="1"/>
    </xf>
    <xf numFmtId="0" fontId="6" fillId="2" borderId="2" xfId="0" applyFont="1" applyFill="1" applyBorder="1" applyAlignment="1">
      <alignment vertical="top" wrapText="1"/>
    </xf>
    <xf numFmtId="0" fontId="6" fillId="0" borderId="2" xfId="0" applyFont="1" applyBorder="1" applyAlignment="1">
      <alignment vertical="top" wrapText="1"/>
    </xf>
    <xf numFmtId="10" fontId="5" fillId="0" borderId="2" xfId="0" applyNumberFormat="1" applyFont="1" applyBorder="1" applyAlignment="1">
      <alignment horizontal="center" vertical="top" wrapText="1"/>
    </xf>
    <xf numFmtId="9" fontId="5" fillId="0" borderId="2" xfId="0" applyNumberFormat="1" applyFont="1" applyBorder="1" applyAlignment="1">
      <alignment horizontal="center" vertical="top" wrapText="1"/>
    </xf>
    <xf numFmtId="10" fontId="5" fillId="0" borderId="3" xfId="0" applyNumberFormat="1" applyFont="1" applyBorder="1" applyAlignment="1">
      <alignment horizontal="center" vertical="top" wrapText="1"/>
    </xf>
    <xf numFmtId="10" fontId="6" fillId="2" borderId="2" xfId="0" applyNumberFormat="1" applyFont="1" applyFill="1" applyBorder="1" applyAlignment="1">
      <alignment horizontal="center" vertical="top" wrapText="1"/>
    </xf>
    <xf numFmtId="0" fontId="9" fillId="6" borderId="1" xfId="0" applyFont="1" applyFill="1" applyBorder="1" applyAlignment="1">
      <alignment horizontal="center" vertical="center" wrapText="1"/>
    </xf>
    <xf numFmtId="49" fontId="9" fillId="6" borderId="1" xfId="1" applyNumberFormat="1" applyFont="1" applyFill="1" applyBorder="1" applyAlignment="1">
      <alignment horizontal="center" vertical="center" wrapText="1"/>
    </xf>
    <xf numFmtId="0" fontId="4" fillId="0" borderId="0" xfId="0" applyFont="1"/>
    <xf numFmtId="0" fontId="7" fillId="5" borderId="0" xfId="0" applyFont="1" applyFill="1"/>
    <xf numFmtId="0" fontId="7" fillId="3" borderId="0" xfId="0" applyFont="1" applyFill="1"/>
    <xf numFmtId="0" fontId="7" fillId="4" borderId="0" xfId="0" applyFont="1" applyFill="1"/>
    <xf numFmtId="10" fontId="10" fillId="0" borderId="2" xfId="0" applyNumberFormat="1" applyFont="1" applyBorder="1" applyAlignment="1">
      <alignment horizontal="center" vertical="top" wrapText="1"/>
    </xf>
    <xf numFmtId="0" fontId="8" fillId="0" borderId="0" xfId="0" applyFont="1" applyAlignment="1">
      <alignment horizontal="center"/>
    </xf>
    <xf numFmtId="0" fontId="11" fillId="0" borderId="0" xfId="0" applyFont="1" applyAlignment="1">
      <alignment horizontal="center"/>
    </xf>
    <xf numFmtId="49" fontId="12" fillId="6" borderId="1" xfId="1" applyNumberFormat="1" applyFont="1" applyFill="1" applyBorder="1" applyAlignment="1">
      <alignment horizontal="center" vertical="center" wrapText="1"/>
    </xf>
    <xf numFmtId="9" fontId="10" fillId="0" borderId="3" xfId="0" applyNumberFormat="1" applyFont="1" applyBorder="1" applyAlignment="1">
      <alignment horizontal="center" vertical="top" wrapText="1"/>
    </xf>
    <xf numFmtId="10" fontId="10" fillId="0" borderId="3" xfId="0" applyNumberFormat="1" applyFont="1" applyBorder="1" applyAlignment="1">
      <alignment horizontal="center" vertical="top" wrapText="1"/>
    </xf>
    <xf numFmtId="0" fontId="10" fillId="0" borderId="3" xfId="0" applyFont="1" applyBorder="1" applyAlignment="1">
      <alignment horizontal="center" vertical="top" wrapText="1"/>
    </xf>
    <xf numFmtId="2" fontId="10" fillId="0" borderId="2" xfId="0" applyNumberFormat="1" applyFont="1" applyBorder="1" applyAlignment="1">
      <alignment horizontal="center" vertical="top" wrapText="1"/>
    </xf>
    <xf numFmtId="0" fontId="10" fillId="0" borderId="2" xfId="0" applyFont="1" applyBorder="1" applyAlignment="1">
      <alignment horizontal="center" vertical="top" wrapText="1"/>
    </xf>
    <xf numFmtId="9" fontId="10" fillId="0" borderId="2" xfId="0" applyNumberFormat="1" applyFont="1" applyBorder="1" applyAlignment="1">
      <alignment horizontal="center" vertical="top" wrapText="1"/>
    </xf>
    <xf numFmtId="2" fontId="10" fillId="0" borderId="3" xfId="0" applyNumberFormat="1" applyFont="1" applyBorder="1" applyAlignment="1">
      <alignment horizontal="center" vertical="top" wrapText="1"/>
    </xf>
    <xf numFmtId="10" fontId="6" fillId="0" borderId="2" xfId="0" applyNumberFormat="1" applyFont="1" applyBorder="1" applyAlignment="1">
      <alignment horizontal="center" vertical="top" wrapText="1"/>
    </xf>
    <xf numFmtId="2" fontId="6" fillId="0" borderId="2" xfId="0" applyNumberFormat="1" applyFont="1" applyBorder="1" applyAlignment="1">
      <alignment horizontal="center" vertical="top" wrapText="1"/>
    </xf>
    <xf numFmtId="0" fontId="10" fillId="5" borderId="2" xfId="0" applyFont="1" applyFill="1" applyBorder="1" applyAlignment="1">
      <alignment horizontal="center" vertical="top" wrapText="1"/>
    </xf>
    <xf numFmtId="0" fontId="10" fillId="8" borderId="2" xfId="0" applyFont="1" applyFill="1" applyBorder="1" applyAlignment="1">
      <alignment horizontal="center" vertical="top" wrapText="1"/>
    </xf>
    <xf numFmtId="10" fontId="10" fillId="5" borderId="2"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3" fontId="10" fillId="0" borderId="2" xfId="0" applyNumberFormat="1" applyFont="1" applyBorder="1" applyAlignment="1">
      <alignment horizontal="center" vertical="top" wrapText="1"/>
    </xf>
    <xf numFmtId="0" fontId="15" fillId="6" borderId="1" xfId="0" applyFont="1" applyFill="1" applyBorder="1" applyAlignment="1">
      <alignment horizontal="center" vertical="center" wrapText="1"/>
    </xf>
    <xf numFmtId="0" fontId="16" fillId="7" borderId="2" xfId="0" applyFont="1" applyFill="1" applyBorder="1" applyAlignment="1">
      <alignment vertical="center" wrapText="1"/>
    </xf>
    <xf numFmtId="0" fontId="17" fillId="7" borderId="2" xfId="0" applyFont="1" applyFill="1" applyBorder="1" applyAlignment="1">
      <alignment vertical="center" wrapText="1"/>
    </xf>
    <xf numFmtId="0" fontId="17" fillId="0" borderId="2" xfId="0" applyFont="1" applyBorder="1" applyAlignment="1">
      <alignment horizontal="left" vertical="top" wrapText="1"/>
    </xf>
    <xf numFmtId="0" fontId="17" fillId="0" borderId="2" xfId="0" applyFont="1" applyBorder="1" applyAlignment="1">
      <alignment horizontal="justify" vertical="top" wrapText="1"/>
    </xf>
    <xf numFmtId="0" fontId="17" fillId="0" borderId="2" xfId="0" applyFont="1" applyBorder="1" applyAlignment="1">
      <alignment horizontal="center" vertical="top" wrapText="1"/>
    </xf>
    <xf numFmtId="0" fontId="18" fillId="0" borderId="2" xfId="0" applyFont="1" applyBorder="1" applyAlignment="1">
      <alignment horizontal="center" vertical="top" wrapText="1"/>
    </xf>
    <xf numFmtId="2" fontId="19" fillId="0" borderId="2" xfId="0" applyNumberFormat="1" applyFont="1" applyBorder="1" applyAlignment="1">
      <alignment horizontal="center" vertical="top" wrapText="1"/>
    </xf>
    <xf numFmtId="10" fontId="17" fillId="0" borderId="2" xfId="0" applyNumberFormat="1" applyFont="1" applyBorder="1" applyAlignment="1">
      <alignment horizontal="center" vertical="top" wrapText="1"/>
    </xf>
    <xf numFmtId="0" fontId="17" fillId="9" borderId="2" xfId="0" applyFont="1" applyFill="1" applyBorder="1" applyAlignment="1">
      <alignment horizontal="center" vertical="top" wrapText="1"/>
    </xf>
    <xf numFmtId="4" fontId="17" fillId="0" borderId="2" xfId="0" applyNumberFormat="1" applyFont="1" applyBorder="1" applyAlignment="1">
      <alignment horizontal="center" vertical="top" wrapText="1"/>
    </xf>
    <xf numFmtId="0" fontId="17" fillId="0" borderId="2" xfId="0" applyFont="1" applyBorder="1" applyAlignment="1">
      <alignment horizontal="center" vertical="top"/>
    </xf>
    <xf numFmtId="0" fontId="17" fillId="5" borderId="2" xfId="0" applyFont="1" applyFill="1" applyBorder="1" applyAlignment="1">
      <alignment horizontal="center" vertical="top" wrapText="1"/>
    </xf>
    <xf numFmtId="49" fontId="17" fillId="0" borderId="2" xfId="0" applyNumberFormat="1" applyFont="1" applyBorder="1" applyAlignment="1">
      <alignment horizontal="center" vertical="top" wrapText="1"/>
    </xf>
    <xf numFmtId="10" fontId="19" fillId="0" borderId="2" xfId="2" applyNumberFormat="1" applyFont="1" applyBorder="1" applyAlignment="1">
      <alignment horizontal="center" vertical="top" wrapText="1"/>
    </xf>
    <xf numFmtId="0" fontId="7" fillId="0" borderId="0" xfId="0" applyFont="1" applyAlignment="1">
      <alignment vertical="top"/>
    </xf>
    <xf numFmtId="0" fontId="7" fillId="0" borderId="0" xfId="0" applyFont="1"/>
    <xf numFmtId="0" fontId="4" fillId="0" borderId="0" xfId="0" applyFont="1" applyAlignment="1">
      <alignment horizontal="left"/>
    </xf>
    <xf numFmtId="0" fontId="8" fillId="0" borderId="0" xfId="0" applyFont="1" applyAlignment="1">
      <alignment horizontal="center"/>
    </xf>
    <xf numFmtId="0" fontId="9" fillId="6" borderId="4" xfId="0" applyFont="1" applyFill="1" applyBorder="1" applyAlignment="1">
      <alignment horizontal="center" vertical="center" wrapText="1"/>
    </xf>
    <xf numFmtId="0" fontId="9" fillId="6" borderId="0" xfId="0" applyFont="1" applyFill="1" applyAlignment="1">
      <alignment horizontal="center" vertical="center" wrapText="1"/>
    </xf>
    <xf numFmtId="0" fontId="4" fillId="0" borderId="2" xfId="0" applyFont="1" applyBorder="1" applyAlignment="1">
      <alignment horizontal="left" vertical="top" wrapText="1"/>
    </xf>
    <xf numFmtId="0" fontId="0" fillId="7" borderId="5" xfId="0" applyFill="1" applyBorder="1" applyAlignment="1">
      <alignment horizontal="center" vertical="center" wrapText="1"/>
    </xf>
    <xf numFmtId="0" fontId="0" fillId="7" borderId="0" xfId="0" applyFill="1" applyAlignment="1">
      <alignment horizontal="center" vertical="center" wrapText="1"/>
    </xf>
    <xf numFmtId="0" fontId="4" fillId="0" borderId="0" xfId="0" applyFont="1" applyAlignment="1">
      <alignment vertical="top" wrapText="1"/>
    </xf>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F1EC13"/>
      <color rgb="FFE4C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8</xdr:row>
      <xdr:rowOff>119743</xdr:rowOff>
    </xdr:from>
    <xdr:to>
      <xdr:col>0</xdr:col>
      <xdr:colOff>329837</xdr:colOff>
      <xdr:row>8</xdr:row>
      <xdr:rowOff>745421</xdr:rowOff>
    </xdr:to>
    <xdr:sp macro="" textlink="">
      <xdr:nvSpPr>
        <xdr:cNvPr id="8" name="AutoShape 3" descr="https://mail.google.com/mail/u/2?ui=2&amp;ik=75a2aa31e9&amp;attid=0.1&amp;permmsgid=msg-f:1674380461821240028&amp;th=173c9828a5b5a2dc&amp;view=fimg&amp;sz=s0-l75-ft&amp;attbid=ANGjdJ8M-N953wTiKPUOb_4chVuPjSUGI1fh94ut0-mbb9g5MQvcd5X4OiDwX1bEWuwMVCvExxgdCA1YRRBgFOoLs04Z2unRelTKgN692LFgncTuqhxrz4smDUU-iG8&amp;disp=emb&amp;realattid=173c938ad32df767f2e1">
          <a:extLst>
            <a:ext uri="{FF2B5EF4-FFF2-40B4-BE49-F238E27FC236}">
              <a16:creationId xmlns:a16="http://schemas.microsoft.com/office/drawing/2014/main" id="{427961F7-B91E-40F0-9C4D-CD4E5AD1914F}"/>
            </a:ext>
          </a:extLst>
        </xdr:cNvPr>
        <xdr:cNvSpPr>
          <a:spLocks noChangeAspect="1" noChangeArrowheads="1"/>
        </xdr:cNvSpPr>
      </xdr:nvSpPr>
      <xdr:spPr bwMode="auto">
        <a:xfrm>
          <a:off x="32657" y="5780314"/>
          <a:ext cx="304800" cy="631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180975</xdr:colOff>
      <xdr:row>8</xdr:row>
      <xdr:rowOff>161925</xdr:rowOff>
    </xdr:from>
    <xdr:to>
      <xdr:col>0</xdr:col>
      <xdr:colOff>479107</xdr:colOff>
      <xdr:row>8</xdr:row>
      <xdr:rowOff>779148</xdr:rowOff>
    </xdr:to>
    <xdr:sp macro="" textlink="">
      <xdr:nvSpPr>
        <xdr:cNvPr id="9" name="AutoShape 8" descr="https://mail.google.com/mail/u/2?ui=2&amp;ik=75a2aa31e9&amp;attid=0.1&amp;permmsgid=msg-f:1674380461821240028&amp;th=173c9828a5b5a2dc&amp;view=fimg&amp;sz=s0-l75-ft&amp;attbid=ANGjdJ8M-N953wTiKPUOb_4chVuPjSUGI1fh94ut0-mbb9g5MQvcd5X4OiDwX1bEWuwMVCvExxgdCA1YRRBgFOoLs04Z2unRelTKgN692LFgncTuqhxrz4smDUU-iG8&amp;disp=emb&amp;realattid=173c938ad32df767f2e1">
          <a:extLst>
            <a:ext uri="{FF2B5EF4-FFF2-40B4-BE49-F238E27FC236}">
              <a16:creationId xmlns:a16="http://schemas.microsoft.com/office/drawing/2014/main" id="{0BD2D8EA-4147-424B-9A55-D7815A5C4219}"/>
            </a:ext>
          </a:extLst>
        </xdr:cNvPr>
        <xdr:cNvSpPr>
          <a:spLocks noChangeAspect="1" noChangeArrowheads="1"/>
        </xdr:cNvSpPr>
      </xdr:nvSpPr>
      <xdr:spPr bwMode="auto">
        <a:xfrm>
          <a:off x="177800" y="4673600"/>
          <a:ext cx="300672" cy="2895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N48"/>
  <sheetViews>
    <sheetView tabSelected="1" zoomScale="70" zoomScaleNormal="70" workbookViewId="0">
      <selection activeCell="A56" sqref="A56"/>
    </sheetView>
  </sheetViews>
  <sheetFormatPr defaultColWidth="11.5703125" defaultRowHeight="14.45"/>
  <cols>
    <col min="1" max="1" width="47.5703125" customWidth="1"/>
    <col min="2" max="2" width="30.28515625" customWidth="1"/>
    <col min="3" max="3" width="16.140625" customWidth="1"/>
    <col min="4" max="4" width="14.5703125" customWidth="1"/>
    <col min="5" max="5" width="21.85546875" customWidth="1"/>
    <col min="6" max="6" width="25.28515625" customWidth="1"/>
    <col min="7" max="7" width="29.85546875" customWidth="1"/>
    <col min="8" max="8" width="34" customWidth="1"/>
    <col min="9" max="9" width="20.28515625" customWidth="1"/>
    <col min="10" max="10" width="25.5703125" customWidth="1"/>
    <col min="11" max="11" width="30" customWidth="1"/>
    <col min="12" max="12" width="25.5703125" customWidth="1"/>
  </cols>
  <sheetData>
    <row r="2" spans="1:11" ht="21">
      <c r="A2" s="60" t="s">
        <v>0</v>
      </c>
      <c r="B2" s="60"/>
      <c r="C2" s="60"/>
      <c r="D2" s="60"/>
      <c r="E2" s="60"/>
      <c r="F2" s="60"/>
      <c r="G2" s="60"/>
      <c r="H2" s="60"/>
      <c r="I2" s="60"/>
      <c r="J2" s="60"/>
      <c r="K2" s="60"/>
    </row>
    <row r="3" spans="1:11" ht="21">
      <c r="A3" s="60" t="s">
        <v>1</v>
      </c>
      <c r="B3" s="60"/>
      <c r="C3" s="60"/>
      <c r="D3" s="60"/>
      <c r="E3" s="60"/>
      <c r="F3" s="60"/>
      <c r="G3" s="60"/>
      <c r="H3" s="60"/>
      <c r="I3" s="60"/>
      <c r="J3" s="60"/>
      <c r="K3" s="60"/>
    </row>
    <row r="4" spans="1:11" ht="23.45">
      <c r="A4" s="26" t="s">
        <v>2</v>
      </c>
      <c r="B4" s="25"/>
      <c r="C4" s="25"/>
      <c r="D4" s="25"/>
      <c r="E4" s="25"/>
      <c r="F4" s="25"/>
      <c r="G4" s="25"/>
      <c r="H4" s="25"/>
      <c r="I4" s="25"/>
      <c r="J4" s="25"/>
      <c r="K4" s="25"/>
    </row>
    <row r="5" spans="1:11" ht="21.6" thickBot="1">
      <c r="A5" s="25"/>
      <c r="B5" s="25"/>
      <c r="C5" s="25"/>
      <c r="D5" s="25"/>
      <c r="E5" s="25"/>
      <c r="F5" s="25"/>
      <c r="G5" s="25"/>
      <c r="H5" s="25"/>
      <c r="I5" s="25"/>
      <c r="J5" s="25"/>
      <c r="K5" s="25"/>
    </row>
    <row r="6" spans="1:11" ht="78" thickTop="1">
      <c r="A6" s="42" t="s">
        <v>3</v>
      </c>
      <c r="B6" s="42" t="s">
        <v>4</v>
      </c>
      <c r="C6" s="42" t="s">
        <v>5</v>
      </c>
      <c r="D6" s="42" t="s">
        <v>6</v>
      </c>
      <c r="E6" s="42" t="s">
        <v>7</v>
      </c>
      <c r="F6" s="42" t="s">
        <v>8</v>
      </c>
      <c r="G6" s="42" t="s">
        <v>9</v>
      </c>
      <c r="H6" s="61" t="s">
        <v>10</v>
      </c>
      <c r="I6" s="62"/>
      <c r="J6" s="62"/>
      <c r="K6" s="25"/>
    </row>
    <row r="7" spans="1:11" ht="25.9">
      <c r="A7" s="43"/>
      <c r="B7" s="43"/>
      <c r="C7" s="43"/>
      <c r="D7" s="44"/>
      <c r="E7" s="44"/>
      <c r="F7" s="44"/>
      <c r="G7" s="44"/>
      <c r="H7" s="64"/>
      <c r="I7" s="65"/>
      <c r="J7" s="65"/>
      <c r="K7" s="25"/>
    </row>
    <row r="8" spans="1:11" ht="240.6" customHeight="1">
      <c r="A8" s="45" t="s">
        <v>11</v>
      </c>
      <c r="B8" s="46" t="s">
        <v>12</v>
      </c>
      <c r="C8" s="47" t="s">
        <v>13</v>
      </c>
      <c r="D8" s="48">
        <v>777</v>
      </c>
      <c r="E8" s="49" t="s">
        <v>14</v>
      </c>
      <c r="F8" s="50" t="s">
        <v>15</v>
      </c>
      <c r="G8" s="51" t="s">
        <v>16</v>
      </c>
      <c r="H8" s="63" t="s">
        <v>17</v>
      </c>
      <c r="I8" s="63"/>
      <c r="J8" s="63"/>
      <c r="K8" s="25"/>
    </row>
    <row r="9" spans="1:11" ht="166.15" customHeight="1">
      <c r="A9" s="45" t="s">
        <v>18</v>
      </c>
      <c r="B9" s="46" t="s">
        <v>19</v>
      </c>
      <c r="C9" s="47" t="s">
        <v>20</v>
      </c>
      <c r="D9" s="52">
        <v>3.7</v>
      </c>
      <c r="E9" s="49">
        <v>3.78</v>
      </c>
      <c r="F9" s="53">
        <v>0</v>
      </c>
      <c r="G9" s="54" t="s">
        <v>21</v>
      </c>
      <c r="H9" s="63" t="s">
        <v>22</v>
      </c>
      <c r="I9" s="63"/>
      <c r="J9" s="63"/>
      <c r="K9" s="25"/>
    </row>
    <row r="10" spans="1:11" ht="157.15" customHeight="1">
      <c r="A10" s="45" t="s">
        <v>23</v>
      </c>
      <c r="B10" s="46" t="s">
        <v>24</v>
      </c>
      <c r="C10" s="55" t="s">
        <v>25</v>
      </c>
      <c r="D10" s="47">
        <v>27</v>
      </c>
      <c r="E10" s="49">
        <v>32.28</v>
      </c>
      <c r="F10" s="53">
        <v>0</v>
      </c>
      <c r="G10" s="54" t="s">
        <v>21</v>
      </c>
      <c r="H10" s="63" t="s">
        <v>26</v>
      </c>
      <c r="I10" s="63"/>
      <c r="J10" s="63"/>
      <c r="K10" s="25"/>
    </row>
    <row r="11" spans="1:11" ht="241.9" customHeight="1">
      <c r="A11" s="45" t="s">
        <v>27</v>
      </c>
      <c r="B11" s="46" t="s">
        <v>28</v>
      </c>
      <c r="C11" s="47" t="s">
        <v>29</v>
      </c>
      <c r="D11" s="50">
        <v>5.5E-2</v>
      </c>
      <c r="E11" s="56">
        <v>-0.13270000000000001</v>
      </c>
      <c r="F11" s="53">
        <v>0</v>
      </c>
      <c r="G11" s="54" t="s">
        <v>30</v>
      </c>
      <c r="H11" s="63" t="s">
        <v>31</v>
      </c>
      <c r="I11" s="63"/>
      <c r="J11" s="63"/>
      <c r="K11" s="25"/>
    </row>
    <row r="12" spans="1:11" ht="21">
      <c r="A12" s="25"/>
      <c r="B12" s="25"/>
      <c r="C12" s="25"/>
      <c r="D12" s="25"/>
      <c r="E12" s="25"/>
      <c r="F12" s="25"/>
      <c r="G12" s="25"/>
      <c r="H12" s="25"/>
      <c r="I12" s="25"/>
      <c r="J12" s="25"/>
      <c r="K12" s="25"/>
    </row>
    <row r="13" spans="1:11" ht="23.45">
      <c r="A13" s="26" t="s">
        <v>32</v>
      </c>
      <c r="B13" s="25"/>
      <c r="C13" s="25"/>
      <c r="D13" s="25"/>
      <c r="E13" s="25"/>
      <c r="F13" s="25"/>
      <c r="G13" s="25"/>
      <c r="H13" s="25"/>
      <c r="I13" s="25"/>
      <c r="J13" s="25"/>
      <c r="K13" s="25"/>
    </row>
    <row r="14" spans="1:11" ht="15" thickBot="1"/>
    <row r="15" spans="1:11" s="1" customFormat="1" ht="92.1" customHeight="1">
      <c r="A15" s="18" t="s">
        <v>33</v>
      </c>
      <c r="B15" s="18" t="s">
        <v>4</v>
      </c>
      <c r="C15" s="18" t="s">
        <v>34</v>
      </c>
      <c r="D15" s="18" t="s">
        <v>35</v>
      </c>
      <c r="E15" s="19" t="s">
        <v>36</v>
      </c>
      <c r="F15" s="19" t="s">
        <v>37</v>
      </c>
      <c r="G15" s="19" t="s">
        <v>38</v>
      </c>
      <c r="H15" s="27" t="s">
        <v>39</v>
      </c>
      <c r="I15" s="19" t="s">
        <v>40</v>
      </c>
      <c r="J15" s="19" t="s">
        <v>41</v>
      </c>
      <c r="K15" s="18" t="s">
        <v>42</v>
      </c>
    </row>
    <row r="16" spans="1:11" ht="106.35" customHeight="1">
      <c r="A16" s="3" t="s">
        <v>43</v>
      </c>
      <c r="B16" s="4" t="s">
        <v>44</v>
      </c>
      <c r="C16" s="4" t="s">
        <v>45</v>
      </c>
      <c r="D16" s="5" t="s">
        <v>46</v>
      </c>
      <c r="E16" s="14">
        <v>0.80610000000000004</v>
      </c>
      <c r="F16" s="14" t="s">
        <v>15</v>
      </c>
      <c r="G16" s="24">
        <v>0.83679999999999999</v>
      </c>
      <c r="H16" s="24">
        <f>83.68/90</f>
        <v>0.92977777777777781</v>
      </c>
      <c r="I16" s="31">
        <f>((83.68-50.97)/(90-50.97))*100</f>
        <v>83.807327696643625</v>
      </c>
      <c r="J16" s="38" t="s">
        <v>47</v>
      </c>
      <c r="K16" s="5" t="s">
        <v>48</v>
      </c>
    </row>
    <row r="17" spans="1:14" ht="99" customHeight="1">
      <c r="A17" s="3" t="s">
        <v>49</v>
      </c>
      <c r="B17" s="4" t="s">
        <v>50</v>
      </c>
      <c r="C17" s="5" t="s">
        <v>51</v>
      </c>
      <c r="D17" s="5" t="s">
        <v>52</v>
      </c>
      <c r="E17" s="4">
        <v>16.940000000000001</v>
      </c>
      <c r="F17" s="14">
        <v>0.1694</v>
      </c>
      <c r="G17" s="24">
        <v>0.17960000000000001</v>
      </c>
      <c r="H17" s="24">
        <f>17.96/29.75</f>
        <v>0.60369747899159665</v>
      </c>
      <c r="I17" s="31">
        <f>((17.96-12.88)/(29.75-12.88))*100</f>
        <v>30.112625963248373</v>
      </c>
      <c r="J17" s="39" t="s">
        <v>53</v>
      </c>
      <c r="K17" s="5" t="s">
        <v>54</v>
      </c>
      <c r="N17" s="2"/>
    </row>
    <row r="18" spans="1:14" ht="112.35" customHeight="1">
      <c r="A18" s="3" t="s">
        <v>55</v>
      </c>
      <c r="B18" s="4" t="s">
        <v>50</v>
      </c>
      <c r="C18" s="5" t="s">
        <v>56</v>
      </c>
      <c r="D18" s="5" t="s">
        <v>57</v>
      </c>
      <c r="E18" s="14">
        <v>0.311</v>
      </c>
      <c r="F18" s="14" t="s">
        <v>15</v>
      </c>
      <c r="G18" s="24">
        <v>0.94330000000000003</v>
      </c>
      <c r="H18" s="24">
        <f>94.33/55</f>
        <v>1.715090909090909</v>
      </c>
      <c r="I18" s="31">
        <f>((94.33-7)/(55-7))*100</f>
        <v>181.9375</v>
      </c>
      <c r="J18" s="40" t="s">
        <v>58</v>
      </c>
      <c r="K18" s="5" t="s">
        <v>59</v>
      </c>
    </row>
    <row r="19" spans="1:14" ht="114.6" customHeight="1">
      <c r="A19" s="3" t="s">
        <v>60</v>
      </c>
      <c r="B19" s="3" t="s">
        <v>44</v>
      </c>
      <c r="C19" s="5" t="s">
        <v>61</v>
      </c>
      <c r="D19" s="5" t="s">
        <v>62</v>
      </c>
      <c r="E19" s="15">
        <v>0.57999999999999996</v>
      </c>
      <c r="F19" s="15">
        <v>0.65</v>
      </c>
      <c r="G19" s="33">
        <v>0.67</v>
      </c>
      <c r="H19" s="24">
        <f>67/100</f>
        <v>0.67</v>
      </c>
      <c r="I19" s="31">
        <v>0</v>
      </c>
      <c r="J19" s="39" t="s">
        <v>53</v>
      </c>
      <c r="K19" s="5" t="s">
        <v>59</v>
      </c>
    </row>
    <row r="20" spans="1:14" ht="113.1" customHeight="1">
      <c r="A20" s="3" t="s">
        <v>63</v>
      </c>
      <c r="B20" s="3" t="s">
        <v>64</v>
      </c>
      <c r="C20" s="7" t="s">
        <v>65</v>
      </c>
      <c r="D20" s="5" t="s">
        <v>66</v>
      </c>
      <c r="E20" s="4">
        <v>0</v>
      </c>
      <c r="F20" s="4">
        <v>2</v>
      </c>
      <c r="G20" s="32">
        <v>2</v>
      </c>
      <c r="H20" s="24">
        <f>F20/2</f>
        <v>1</v>
      </c>
      <c r="I20" s="32">
        <f>(2/2)*100</f>
        <v>100</v>
      </c>
      <c r="J20" s="40" t="s">
        <v>58</v>
      </c>
      <c r="K20" s="5" t="s">
        <v>67</v>
      </c>
    </row>
    <row r="21" spans="1:14" ht="116.65" customHeight="1">
      <c r="A21" s="3" t="s">
        <v>68</v>
      </c>
      <c r="B21" s="3" t="s">
        <v>69</v>
      </c>
      <c r="C21" s="3" t="s">
        <v>70</v>
      </c>
      <c r="D21" s="5" t="s">
        <v>71</v>
      </c>
      <c r="E21" s="15">
        <v>0</v>
      </c>
      <c r="F21" s="15">
        <v>0</v>
      </c>
      <c r="G21" s="28">
        <v>0</v>
      </c>
      <c r="H21" s="29">
        <v>0</v>
      </c>
      <c r="I21" s="34">
        <v>0</v>
      </c>
      <c r="J21" s="37" t="s">
        <v>53</v>
      </c>
      <c r="K21" s="5" t="s">
        <v>72</v>
      </c>
    </row>
    <row r="22" spans="1:14" ht="104.45">
      <c r="A22" s="3" t="s">
        <v>73</v>
      </c>
      <c r="B22" s="5" t="s">
        <v>74</v>
      </c>
      <c r="C22" s="5" t="s">
        <v>75</v>
      </c>
      <c r="D22" s="5" t="s">
        <v>76</v>
      </c>
      <c r="E22" s="15">
        <v>7.0000000000000007E-2</v>
      </c>
      <c r="F22" s="15">
        <v>7.0000000000000007E-2</v>
      </c>
      <c r="G22" s="28">
        <v>7.0000000000000007E-2</v>
      </c>
      <c r="H22" s="29">
        <f>7/7</f>
        <v>1</v>
      </c>
      <c r="I22" s="30">
        <f>((7-3)/(7-3)*100)</f>
        <v>100</v>
      </c>
      <c r="J22" s="40" t="s">
        <v>58</v>
      </c>
      <c r="K22" s="5" t="s">
        <v>77</v>
      </c>
    </row>
    <row r="23" spans="1:14" ht="93" customHeight="1">
      <c r="A23" s="3" t="s">
        <v>78</v>
      </c>
      <c r="B23" s="3" t="s">
        <v>79</v>
      </c>
      <c r="C23" s="3" t="s">
        <v>80</v>
      </c>
      <c r="D23" s="5" t="s">
        <v>81</v>
      </c>
      <c r="E23" s="14">
        <v>3.2000000000000001E-2</v>
      </c>
      <c r="F23" s="14">
        <v>3.2000000000000001E-2</v>
      </c>
      <c r="G23" s="24">
        <v>6.08E-2</v>
      </c>
      <c r="H23" s="24">
        <f>6.08/15</f>
        <v>0.40533333333333332</v>
      </c>
      <c r="I23" s="31">
        <f>((6.08-3)/(15-3)*100)</f>
        <v>25.666666666666664</v>
      </c>
      <c r="J23" s="37" t="s">
        <v>53</v>
      </c>
      <c r="K23" s="6" t="s">
        <v>82</v>
      </c>
    </row>
    <row r="24" spans="1:14" ht="129.6" customHeight="1">
      <c r="A24" s="3" t="s">
        <v>83</v>
      </c>
      <c r="B24" s="5" t="s">
        <v>84</v>
      </c>
      <c r="C24" s="5" t="s">
        <v>85</v>
      </c>
      <c r="D24" s="5" t="s">
        <v>86</v>
      </c>
      <c r="E24" s="15">
        <v>0.12</v>
      </c>
      <c r="F24" s="15">
        <v>0.15</v>
      </c>
      <c r="G24" s="29">
        <v>0.37</v>
      </c>
      <c r="H24" s="29">
        <f>37/55</f>
        <v>0.67272727272727273</v>
      </c>
      <c r="I24" s="34">
        <f>(37-12)/(55-12)*100</f>
        <v>58.139534883720934</v>
      </c>
      <c r="J24" s="38" t="s">
        <v>47</v>
      </c>
      <c r="K24" s="5" t="s">
        <v>87</v>
      </c>
    </row>
    <row r="25" spans="1:14" ht="101.65" customHeight="1">
      <c r="A25" s="3" t="s">
        <v>88</v>
      </c>
      <c r="B25" s="5" t="s">
        <v>84</v>
      </c>
      <c r="C25" s="5" t="s">
        <v>89</v>
      </c>
      <c r="D25" s="5" t="s">
        <v>90</v>
      </c>
      <c r="E25" s="15">
        <v>0.01</v>
      </c>
      <c r="F25" s="15">
        <v>0.01</v>
      </c>
      <c r="G25" s="33">
        <v>0.03</v>
      </c>
      <c r="H25" s="24">
        <f>3/7</f>
        <v>0.42857142857142855</v>
      </c>
      <c r="I25" s="31">
        <f>((3-1)/(7-1))*100</f>
        <v>33.333333333333329</v>
      </c>
      <c r="J25" s="37" t="s">
        <v>53</v>
      </c>
      <c r="K25" s="5" t="s">
        <v>91</v>
      </c>
    </row>
    <row r="26" spans="1:14" ht="122.65" customHeight="1">
      <c r="A26" s="3" t="s">
        <v>92</v>
      </c>
      <c r="B26" s="5" t="s">
        <v>93</v>
      </c>
      <c r="C26" s="5" t="s">
        <v>94</v>
      </c>
      <c r="D26" s="5" t="s">
        <v>95</v>
      </c>
      <c r="E26" s="15">
        <v>0</v>
      </c>
      <c r="F26" s="14">
        <v>5.8799999999999998E-2</v>
      </c>
      <c r="G26" s="29">
        <v>5.8799999999999998E-2</v>
      </c>
      <c r="H26" s="29">
        <f>5.88/18</f>
        <v>0.32666666666666666</v>
      </c>
      <c r="I26" s="34">
        <v>0</v>
      </c>
      <c r="J26" s="37" t="s">
        <v>53</v>
      </c>
      <c r="K26" s="5" t="s">
        <v>96</v>
      </c>
    </row>
    <row r="27" spans="1:14" ht="102" customHeight="1">
      <c r="A27" s="8" t="s">
        <v>97</v>
      </c>
      <c r="B27" s="5" t="s">
        <v>98</v>
      </c>
      <c r="C27" s="5" t="s">
        <v>99</v>
      </c>
      <c r="D27" s="5" t="s">
        <v>100</v>
      </c>
      <c r="E27" s="15">
        <v>0</v>
      </c>
      <c r="F27" s="15">
        <v>0</v>
      </c>
      <c r="G27" s="33">
        <v>0</v>
      </c>
      <c r="H27" s="24">
        <v>0</v>
      </c>
      <c r="I27" s="32">
        <f>(0/3)*100</f>
        <v>0</v>
      </c>
      <c r="J27" s="37" t="s">
        <v>53</v>
      </c>
      <c r="K27" s="5" t="s">
        <v>101</v>
      </c>
    </row>
    <row r="28" spans="1:14" ht="158.1" customHeight="1">
      <c r="A28" s="3" t="s">
        <v>102</v>
      </c>
      <c r="B28" s="5" t="s">
        <v>98</v>
      </c>
      <c r="C28" s="5" t="s">
        <v>103</v>
      </c>
      <c r="D28" s="5" t="s">
        <v>104</v>
      </c>
      <c r="E28" s="15">
        <v>0.03</v>
      </c>
      <c r="F28" s="14">
        <v>6.6000000000000003E-2</v>
      </c>
      <c r="G28" s="24">
        <v>6.6000000000000003E-2</v>
      </c>
      <c r="H28" s="24">
        <f>6.6/23</f>
        <v>0.28695652173913044</v>
      </c>
      <c r="I28" s="32">
        <f>((6.6-3)/(23-3)*100)</f>
        <v>18</v>
      </c>
      <c r="J28" s="37" t="s">
        <v>53</v>
      </c>
      <c r="K28" s="5" t="s">
        <v>105</v>
      </c>
    </row>
    <row r="29" spans="1:14" ht="135.6" customHeight="1">
      <c r="A29" s="3" t="s">
        <v>106</v>
      </c>
      <c r="B29" s="5" t="s">
        <v>107</v>
      </c>
      <c r="C29" s="5" t="s">
        <v>108</v>
      </c>
      <c r="D29" s="5" t="s">
        <v>109</v>
      </c>
      <c r="E29" s="32" t="s">
        <v>110</v>
      </c>
      <c r="F29" s="24">
        <v>7.3999999999999996E-2</v>
      </c>
      <c r="G29" s="24">
        <v>8.8499999999999995E-2</v>
      </c>
      <c r="H29" s="24">
        <f>8.85/15</f>
        <v>0.59</v>
      </c>
      <c r="I29" s="31">
        <f>((8.85-1)/(15-1))*100</f>
        <v>56.071428571428569</v>
      </c>
      <c r="J29" s="38" t="s">
        <v>47</v>
      </c>
      <c r="K29" s="5" t="s">
        <v>111</v>
      </c>
    </row>
    <row r="30" spans="1:14" ht="108.75" customHeight="1">
      <c r="A30" s="3" t="s">
        <v>112</v>
      </c>
      <c r="B30" s="5" t="s">
        <v>113</v>
      </c>
      <c r="C30" s="5" t="s">
        <v>114</v>
      </c>
      <c r="D30" s="5" t="s">
        <v>115</v>
      </c>
      <c r="E30" s="32" t="s">
        <v>110</v>
      </c>
      <c r="F30" s="24">
        <v>0.30840000000000001</v>
      </c>
      <c r="G30" s="24">
        <v>0.42170000000000002</v>
      </c>
      <c r="H30" s="24">
        <f>42.17/90</f>
        <v>0.46855555555555556</v>
      </c>
      <c r="I30" s="31">
        <f>((42.17-9.15)/(90-9.15))*100</f>
        <v>40.841063698206561</v>
      </c>
      <c r="J30" s="37" t="s">
        <v>53</v>
      </c>
      <c r="K30" s="5" t="s">
        <v>116</v>
      </c>
    </row>
    <row r="31" spans="1:14" ht="120" customHeight="1">
      <c r="A31" s="3" t="s">
        <v>117</v>
      </c>
      <c r="B31" s="5" t="s">
        <v>118</v>
      </c>
      <c r="C31" s="5" t="s">
        <v>119</v>
      </c>
      <c r="D31" s="5" t="s">
        <v>120</v>
      </c>
      <c r="E31" s="32" t="s">
        <v>110</v>
      </c>
      <c r="F31" s="24">
        <v>0.41439999999999999</v>
      </c>
      <c r="G31" s="24">
        <v>0.64049999999999996</v>
      </c>
      <c r="H31" s="24">
        <f>64.05/99</f>
        <v>0.64696969696969697</v>
      </c>
      <c r="I31" s="31">
        <f>((64.05-44.37)/(99-44.37))*100</f>
        <v>36.024162548050519</v>
      </c>
      <c r="J31" s="37" t="s">
        <v>53</v>
      </c>
      <c r="K31" s="5" t="s">
        <v>116</v>
      </c>
    </row>
    <row r="32" spans="1:14" ht="135" customHeight="1">
      <c r="A32" s="3" t="s">
        <v>121</v>
      </c>
      <c r="B32" s="5" t="s">
        <v>122</v>
      </c>
      <c r="C32" s="5" t="s">
        <v>123</v>
      </c>
      <c r="D32" s="5" t="s">
        <v>124</v>
      </c>
      <c r="E32" s="4" t="s">
        <v>125</v>
      </c>
      <c r="F32" s="4" t="s">
        <v>126</v>
      </c>
      <c r="G32" s="32">
        <v>269.56</v>
      </c>
      <c r="H32" s="24">
        <f>269.56/344.61</f>
        <v>0.78221757929253355</v>
      </c>
      <c r="I32" s="31">
        <f>((269.56-143.8)/(344.61-143.8))*100</f>
        <v>62.626363228922855</v>
      </c>
      <c r="J32" s="38" t="s">
        <v>47</v>
      </c>
      <c r="K32" s="5" t="s">
        <v>127</v>
      </c>
    </row>
    <row r="33" spans="1:11" ht="131.65" customHeight="1">
      <c r="A33" s="3" t="s">
        <v>128</v>
      </c>
      <c r="B33" s="5" t="s">
        <v>129</v>
      </c>
      <c r="C33" s="7" t="s">
        <v>130</v>
      </c>
      <c r="D33" s="5" t="s">
        <v>131</v>
      </c>
      <c r="E33" s="15" t="s">
        <v>132</v>
      </c>
      <c r="F33" s="15" t="s">
        <v>133</v>
      </c>
      <c r="G33" s="41">
        <v>7</v>
      </c>
      <c r="H33" s="24">
        <f>7/14</f>
        <v>0.5</v>
      </c>
      <c r="I33" s="31">
        <f>(7/14)*100</f>
        <v>50</v>
      </c>
      <c r="J33" s="38" t="s">
        <v>47</v>
      </c>
      <c r="K33" s="5" t="s">
        <v>127</v>
      </c>
    </row>
    <row r="34" spans="1:11" ht="103.35" customHeight="1">
      <c r="A34" s="3" t="s">
        <v>134</v>
      </c>
      <c r="B34" s="5" t="s">
        <v>135</v>
      </c>
      <c r="C34" s="5" t="s">
        <v>136</v>
      </c>
      <c r="D34" s="5" t="s">
        <v>137</v>
      </c>
      <c r="E34" s="15">
        <v>0.12</v>
      </c>
      <c r="F34" s="15">
        <v>0.12</v>
      </c>
      <c r="G34" s="24">
        <v>0.19500000000000001</v>
      </c>
      <c r="H34" s="24">
        <f>19.5/20</f>
        <v>0.97499999999999998</v>
      </c>
      <c r="I34" s="31">
        <f>((19.5-12)/(20-12))*100</f>
        <v>93.75</v>
      </c>
      <c r="J34" s="40" t="s">
        <v>58</v>
      </c>
      <c r="K34" s="5" t="s">
        <v>138</v>
      </c>
    </row>
    <row r="35" spans="1:11" ht="107.65" customHeight="1">
      <c r="A35" s="3" t="s">
        <v>139</v>
      </c>
      <c r="B35" s="5" t="s">
        <v>135</v>
      </c>
      <c r="C35" s="5" t="s">
        <v>140</v>
      </c>
      <c r="D35" s="5" t="s">
        <v>141</v>
      </c>
      <c r="E35" s="15">
        <v>0</v>
      </c>
      <c r="F35" s="15">
        <v>0</v>
      </c>
      <c r="G35" s="33">
        <v>0</v>
      </c>
      <c r="H35" s="24">
        <v>0</v>
      </c>
      <c r="I35" s="32">
        <f>(0/3)*100</f>
        <v>0</v>
      </c>
      <c r="J35" s="37" t="s">
        <v>53</v>
      </c>
      <c r="K35" s="5" t="s">
        <v>138</v>
      </c>
    </row>
    <row r="36" spans="1:11" ht="104.1" customHeight="1">
      <c r="A36" s="3" t="s">
        <v>142</v>
      </c>
      <c r="B36" s="5" t="s">
        <v>135</v>
      </c>
      <c r="C36" s="5" t="s">
        <v>143</v>
      </c>
      <c r="D36" s="5" t="s">
        <v>141</v>
      </c>
      <c r="E36" s="15">
        <v>0</v>
      </c>
      <c r="F36" s="15">
        <v>0</v>
      </c>
      <c r="G36" s="33">
        <v>0</v>
      </c>
      <c r="H36" s="24">
        <v>0</v>
      </c>
      <c r="I36" s="32">
        <f>(0/3)*0</f>
        <v>0</v>
      </c>
      <c r="J36" s="37" t="s">
        <v>53</v>
      </c>
      <c r="K36" s="5" t="s">
        <v>138</v>
      </c>
    </row>
    <row r="37" spans="1:11" ht="86.65" customHeight="1">
      <c r="A37" s="3" t="s">
        <v>144</v>
      </c>
      <c r="B37" s="5" t="s">
        <v>145</v>
      </c>
      <c r="C37" s="5" t="s">
        <v>146</v>
      </c>
      <c r="D37" s="5" t="s">
        <v>147</v>
      </c>
      <c r="E37" s="15">
        <v>0</v>
      </c>
      <c r="F37" s="15">
        <v>0</v>
      </c>
      <c r="G37" s="33">
        <v>0</v>
      </c>
      <c r="H37" s="24">
        <v>0</v>
      </c>
      <c r="I37" s="32">
        <f>(0/25)*100</f>
        <v>0</v>
      </c>
      <c r="J37" s="37" t="s">
        <v>53</v>
      </c>
      <c r="K37" s="5" t="s">
        <v>138</v>
      </c>
    </row>
    <row r="38" spans="1:11" ht="108" customHeight="1">
      <c r="A38" s="3" t="s">
        <v>148</v>
      </c>
      <c r="B38" s="5" t="s">
        <v>135</v>
      </c>
      <c r="C38" s="6" t="s">
        <v>143</v>
      </c>
      <c r="D38" s="5" t="s">
        <v>141</v>
      </c>
      <c r="E38" s="15">
        <v>0</v>
      </c>
      <c r="F38" s="15">
        <v>0</v>
      </c>
      <c r="G38" s="33">
        <v>0</v>
      </c>
      <c r="H38" s="24">
        <v>0</v>
      </c>
      <c r="I38" s="32">
        <f>(0/3)*100</f>
        <v>0</v>
      </c>
      <c r="J38" s="37" t="s">
        <v>53</v>
      </c>
      <c r="K38" s="5" t="s">
        <v>138</v>
      </c>
    </row>
    <row r="39" spans="1:11" ht="241.35" customHeight="1">
      <c r="A39" s="9" t="s">
        <v>149</v>
      </c>
      <c r="B39" s="9" t="s">
        <v>150</v>
      </c>
      <c r="C39" s="10" t="s">
        <v>151</v>
      </c>
      <c r="D39" s="9" t="s">
        <v>152</v>
      </c>
      <c r="E39" s="16">
        <v>0.16170000000000001</v>
      </c>
      <c r="F39" s="16">
        <v>0.16309999999999999</v>
      </c>
      <c r="G39" s="29">
        <v>0.16689999999999999</v>
      </c>
      <c r="H39" s="29">
        <f>16.69/29.3</f>
        <v>0.56962457337883965</v>
      </c>
      <c r="I39" s="34">
        <f>((16.69-14.97)/(29.3-14.97))*100</f>
        <v>12.002791346824846</v>
      </c>
      <c r="J39" s="37" t="s">
        <v>53</v>
      </c>
      <c r="K39" s="9" t="s">
        <v>153</v>
      </c>
    </row>
    <row r="40" spans="1:11" ht="126" customHeight="1">
      <c r="A40" s="12" t="s">
        <v>154</v>
      </c>
      <c r="B40" s="11" t="s">
        <v>155</v>
      </c>
      <c r="C40" s="11" t="s">
        <v>156</v>
      </c>
      <c r="D40" s="12" t="s">
        <v>157</v>
      </c>
      <c r="E40" s="17">
        <v>0.32029999999999997</v>
      </c>
      <c r="F40" s="17">
        <v>0.34649999999999997</v>
      </c>
      <c r="G40" s="35">
        <v>0.3619</v>
      </c>
      <c r="H40" s="35">
        <f>36.19/50</f>
        <v>0.7238</v>
      </c>
      <c r="I40" s="36">
        <f>((36.19-27.8)/(50-27.8))*100</f>
        <v>37.792792792792781</v>
      </c>
      <c r="J40" s="37" t="s">
        <v>53</v>
      </c>
      <c r="K40" s="13" t="s">
        <v>158</v>
      </c>
    </row>
    <row r="42" spans="1:11" ht="72.599999999999994" customHeight="1">
      <c r="A42" s="66" t="s">
        <v>159</v>
      </c>
      <c r="B42" s="66"/>
      <c r="C42" s="66"/>
      <c r="D42" s="66"/>
      <c r="E42" s="66"/>
      <c r="F42" s="66"/>
      <c r="G42" s="66"/>
      <c r="H42" s="66"/>
    </row>
    <row r="43" spans="1:11" ht="45" customHeight="1">
      <c r="A43" s="66" t="s">
        <v>160</v>
      </c>
      <c r="B43" s="66"/>
      <c r="C43" s="66"/>
      <c r="D43" s="66"/>
      <c r="E43" s="66"/>
      <c r="F43" s="66"/>
      <c r="G43" s="66"/>
      <c r="H43" s="66"/>
      <c r="I43" s="66"/>
      <c r="J43" s="66"/>
      <c r="K43" s="66"/>
    </row>
    <row r="44" spans="1:11" ht="15.6">
      <c r="A44" s="21" t="s">
        <v>161</v>
      </c>
      <c r="B44" s="58" t="s">
        <v>162</v>
      </c>
      <c r="C44" s="58"/>
      <c r="D44" s="58"/>
      <c r="E44" s="58"/>
      <c r="F44" s="58"/>
      <c r="G44" s="58"/>
      <c r="H44" s="58"/>
      <c r="I44" s="58"/>
      <c r="J44" s="58"/>
      <c r="K44" s="58"/>
    </row>
    <row r="45" spans="1:11" ht="15.6">
      <c r="A45" s="20"/>
      <c r="B45" s="59"/>
      <c r="C45" s="59"/>
      <c r="D45" s="20"/>
      <c r="E45" s="20"/>
      <c r="F45" s="20"/>
      <c r="G45" s="20"/>
      <c r="H45" s="20"/>
      <c r="I45" s="20"/>
      <c r="J45" s="20"/>
      <c r="K45" s="20"/>
    </row>
    <row r="46" spans="1:11" ht="15.6">
      <c r="A46" s="22" t="s">
        <v>163</v>
      </c>
      <c r="B46" s="58" t="s">
        <v>164</v>
      </c>
      <c r="C46" s="58"/>
      <c r="D46" s="58"/>
      <c r="E46" s="58"/>
      <c r="F46" s="58"/>
      <c r="G46" s="58"/>
      <c r="H46" s="58"/>
      <c r="I46" s="58"/>
      <c r="J46" s="58"/>
      <c r="K46" s="58"/>
    </row>
    <row r="47" spans="1:11" ht="15.6">
      <c r="A47" s="20"/>
      <c r="B47" s="59"/>
      <c r="C47" s="59"/>
      <c r="D47" s="20"/>
      <c r="E47" s="20"/>
      <c r="F47" s="20"/>
      <c r="G47" s="20"/>
      <c r="H47" s="20"/>
      <c r="I47" s="20"/>
      <c r="J47" s="20"/>
      <c r="K47" s="20"/>
    </row>
    <row r="48" spans="1:11" ht="15.6">
      <c r="A48" s="23" t="s">
        <v>165</v>
      </c>
      <c r="B48" s="57" t="s">
        <v>166</v>
      </c>
      <c r="C48" s="57"/>
      <c r="D48" s="57"/>
      <c r="E48" s="57"/>
      <c r="F48" s="57"/>
      <c r="G48" s="57"/>
      <c r="H48" s="57"/>
      <c r="I48" s="57"/>
      <c r="J48" s="57"/>
      <c r="K48" s="57"/>
    </row>
  </sheetData>
  <mergeCells count="10">
    <mergeCell ref="H9:J9"/>
    <mergeCell ref="H10:J10"/>
    <mergeCell ref="H11:J11"/>
    <mergeCell ref="A42:H42"/>
    <mergeCell ref="A43:K43"/>
    <mergeCell ref="A2:K2"/>
    <mergeCell ref="A3:K3"/>
    <mergeCell ref="H6:J6"/>
    <mergeCell ref="H8:J8"/>
    <mergeCell ref="H7:J7"/>
  </mergeCells>
  <hyperlinks>
    <hyperlink ref="D15" location="_ftn1" display="_ftn1" xr:uid="{00000000-0004-0000-0100-000000000000}"/>
  </hyperlinks>
  <pageMargins left="0.70866141732283472" right="0.70866141732283472" top="0.74803149606299213" bottom="0.74803149606299213" header="0.31496062992125984" footer="0.31496062992125984"/>
  <pageSetup scale="42" fitToHeight="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Cristina Monge Sibaja</dc:creator>
  <cp:keywords/>
  <dc:description/>
  <cp:lastModifiedBy/>
  <cp:revision/>
  <dcterms:created xsi:type="dcterms:W3CDTF">2022-12-07T16:42:02Z</dcterms:created>
  <dcterms:modified xsi:type="dcterms:W3CDTF">2024-06-07T17:43:49Z</dcterms:modified>
  <cp:category/>
  <cp:contentStatus/>
</cp:coreProperties>
</file>